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090" firstSheet="1" activeTab="1"/>
  </bookViews>
  <sheets>
    <sheet name="FY 20-21" sheetId="1" state="hidden" r:id="rId1"/>
    <sheet name="FY 19-20" sheetId="2" r:id="rId2"/>
    <sheet name="FY 18-19" sheetId="3" r:id="rId3"/>
    <sheet name="FY 17-18" sheetId="4" r:id="rId4"/>
    <sheet name="FY 16-17" sheetId="5" r:id="rId5"/>
    <sheet name="FY 15-16" sheetId="6" r:id="rId6"/>
    <sheet name="FY 14-15" sheetId="7" r:id="rId7"/>
    <sheet name="FY 13-14" sheetId="8" r:id="rId8"/>
    <sheet name="FY 12-13" sheetId="9" r:id="rId9"/>
    <sheet name="FY 11-12" sheetId="10" r:id="rId10"/>
    <sheet name="FY 10-11" sheetId="11" r:id="rId11"/>
    <sheet name="FY 09-10" sheetId="12" r:id="rId12"/>
    <sheet name="FY 08-09" sheetId="13" r:id="rId13"/>
    <sheet name="FY 07-08" sheetId="14" r:id="rId14"/>
    <sheet name="FY 06-07" sheetId="15" r:id="rId15"/>
    <sheet name="FY 05-06" sheetId="16" r:id="rId16"/>
    <sheet name="FY 04-05" sheetId="17" r:id="rId17"/>
  </sheets>
  <definedNames>
    <definedName name="_xlfn.IFERROR" hidden="1">#NAME?</definedName>
    <definedName name="_xlnm.Print_Area" localSheetId="16">'FY 04-05'!$A$1:$F$66</definedName>
    <definedName name="_xlnm.Print_Area" localSheetId="15">'FY 05-06'!$A$1:$F$67</definedName>
    <definedName name="_xlnm.Print_Area" localSheetId="14">'FY 06-07'!$A$1:$F$66</definedName>
    <definedName name="_xlnm.Print_Area" localSheetId="13">'FY 07-08'!$A$1:$F$66</definedName>
    <definedName name="_xlnm.Print_Area" localSheetId="12">'FY 08-09'!$A$1:$F$66</definedName>
    <definedName name="_xlnm.Print_Area" localSheetId="11">'FY 09-10'!$A$1:$G$66</definedName>
    <definedName name="_xlnm.Print_Area" localSheetId="10">'FY 10-11'!$A$1:$G$66</definedName>
    <definedName name="_xlnm.Print_Area" localSheetId="9">'FY 11-12'!$A$1:$G$66</definedName>
    <definedName name="_xlnm.Print_Area" localSheetId="8">'FY 12-13'!$A$1:$G$66</definedName>
    <definedName name="_xlnm.Print_Area" localSheetId="7">'FY 13-14'!$A$1:$G$66</definedName>
    <definedName name="_xlnm.Print_Area" localSheetId="6">'FY 14-15'!$A$1:$G$66</definedName>
    <definedName name="_xlnm.Print_Area" localSheetId="5">'FY 15-16'!$A$1:$G$67</definedName>
    <definedName name="_xlnm.Print_Area" localSheetId="4">'FY 16-17'!$A$1:$G$67</definedName>
    <definedName name="_xlnm.Print_Area" localSheetId="3">'FY 17-18'!$A$1:$G$66</definedName>
    <definedName name="_xlnm.Print_Area" localSheetId="2">'FY 18-19'!$A$1:$G$65</definedName>
    <definedName name="_xlnm.Print_Area" localSheetId="1">'FY 19-20'!$A$1:$G$65</definedName>
    <definedName name="_xlnm.Print_Area" localSheetId="0">'FY 20-21'!$A$1:$G$65</definedName>
  </definedNames>
  <calcPr fullCalcOnLoad="1"/>
</workbook>
</file>

<file path=xl/sharedStrings.xml><?xml version="1.0" encoding="utf-8"?>
<sst xmlns="http://schemas.openxmlformats.org/spreadsheetml/2006/main" count="313" uniqueCount="35">
  <si>
    <t>Credits</t>
  </si>
  <si>
    <t>Avg Daily</t>
  </si>
  <si>
    <t>Win/VGM</t>
  </si>
  <si>
    <t>Played</t>
  </si>
  <si>
    <t>Won</t>
  </si>
  <si>
    <t>Net Win</t>
  </si>
  <si>
    <t>VGM's</t>
  </si>
  <si>
    <t>per Day</t>
  </si>
  <si>
    <t>Total</t>
  </si>
  <si>
    <t>Fiscal Year 2008/2009</t>
  </si>
  <si>
    <t>Fiscal Year 2009/2010</t>
  </si>
  <si>
    <t>Week-Ending</t>
  </si>
  <si>
    <t>Fiscal Year 2005/2006</t>
  </si>
  <si>
    <t>Totals</t>
  </si>
  <si>
    <t>Fiscal Year 2006/2007</t>
  </si>
  <si>
    <t>Fiscal Year 2007/2008</t>
  </si>
  <si>
    <t>Monticello Casino &amp; Raceway</t>
  </si>
  <si>
    <t>204 State Route 17B</t>
  </si>
  <si>
    <t>Monticello, NY 12701</t>
  </si>
  <si>
    <t>www.monticellogamingandraceway.com</t>
  </si>
  <si>
    <t>(866) 777-4263</t>
  </si>
  <si>
    <t>Free Play</t>
  </si>
  <si>
    <t>Fiscal Year 2004/2005</t>
  </si>
  <si>
    <t>Fiscal Year 2010/2011</t>
  </si>
  <si>
    <t>Fiscal Year 2011/2012</t>
  </si>
  <si>
    <t>Fiscal Year 2012/2013</t>
  </si>
  <si>
    <t>Allowance</t>
  </si>
  <si>
    <t>www.monticellocasinoandraceway.com</t>
  </si>
  <si>
    <t>Fiscal Year 2013/2014</t>
  </si>
  <si>
    <t>Fiscal Year 2014/2015</t>
  </si>
  <si>
    <t>Fiscal Year 2015/2016</t>
  </si>
  <si>
    <t>Fiscal Year 2016/2017</t>
  </si>
  <si>
    <t>Fiscal Year 2017/2018</t>
  </si>
  <si>
    <t>Fiscal Year 2018/2019</t>
  </si>
  <si>
    <t>Fiscal Year 2019/2020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</si>
</sst>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%_);[Red]\(0.00%\)"/>
    <numFmt numFmtId="166" formatCode="mm/dd/yy;@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10" fillId="0" borderId="10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6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38" fontId="10" fillId="0" borderId="1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11" xfId="0" applyNumberFormat="1" applyBorder="1" applyAlignment="1">
      <alignment/>
    </xf>
    <xf numFmtId="6" fontId="0" fillId="0" borderId="0" xfId="0" applyNumberFormat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6" fontId="2" fillId="0" borderId="0" xfId="60" applyNumberFormat="1" applyBorder="1">
      <alignment vertical="top"/>
      <protection/>
    </xf>
    <xf numFmtId="38" fontId="0" fillId="0" borderId="11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6" fontId="5" fillId="0" borderId="0" xfId="0" applyNumberFormat="1" applyFont="1" applyAlignment="1">
      <alignment/>
    </xf>
    <xf numFmtId="6" fontId="6" fillId="0" borderId="0" xfId="0" applyNumberFormat="1" applyFont="1" applyAlignment="1">
      <alignment/>
    </xf>
    <xf numFmtId="6" fontId="7" fillId="0" borderId="0" xfId="53" applyNumberFormat="1" applyFont="1" applyAlignment="1" applyProtection="1">
      <alignment/>
      <protection/>
    </xf>
    <xf numFmtId="6" fontId="8" fillId="0" borderId="0" xfId="0" applyNumberFormat="1" applyFont="1" applyAlignment="1">
      <alignment/>
    </xf>
    <xf numFmtId="164" fontId="0" fillId="0" borderId="0" xfId="0" applyNumberForma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66" fontId="2" fillId="0" borderId="0" xfId="60" applyNumberFormat="1" applyBorder="1" applyAlignment="1">
      <alignment horizontal="center" vertical="center" wrapText="1"/>
      <protection/>
    </xf>
    <xf numFmtId="6" fontId="5" fillId="0" borderId="0" xfId="0" applyNumberFormat="1" applyFont="1" applyAlignment="1">
      <alignment horizontal="center"/>
    </xf>
    <xf numFmtId="6" fontId="6" fillId="0" borderId="0" xfId="0" applyNumberFormat="1" applyFont="1" applyAlignment="1">
      <alignment horizontal="center"/>
    </xf>
    <xf numFmtId="6" fontId="11" fillId="0" borderId="0" xfId="53" applyNumberFormat="1" applyFont="1" applyAlignment="1" applyProtection="1">
      <alignment horizontal="center"/>
      <protection/>
    </xf>
    <xf numFmtId="6" fontId="8" fillId="0" borderId="0" xfId="0" applyNumberFormat="1" applyFont="1" applyAlignment="1">
      <alignment horizontal="center"/>
    </xf>
    <xf numFmtId="164" fontId="9" fillId="33" borderId="12" xfId="0" applyNumberFormat="1" applyFont="1" applyFill="1" applyBorder="1" applyAlignment="1">
      <alignment horizontal="center"/>
    </xf>
    <xf numFmtId="164" fontId="9" fillId="33" borderId="13" xfId="0" applyNumberFormat="1" applyFont="1" applyFill="1" applyBorder="1" applyAlignment="1">
      <alignment horizontal="center"/>
    </xf>
    <xf numFmtId="164" fontId="9" fillId="33" borderId="14" xfId="0" applyNumberFormat="1" applyFont="1" applyFill="1" applyBorder="1" applyAlignment="1">
      <alignment horizontal="center"/>
    </xf>
    <xf numFmtId="6" fontId="7" fillId="0" borderId="0" xfId="53" applyNumberFormat="1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85725</xdr:rowOff>
    </xdr:from>
    <xdr:to>
      <xdr:col>1</xdr:col>
      <xdr:colOff>762000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15621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1</xdr:col>
      <xdr:colOff>762000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562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1</xdr:col>
      <xdr:colOff>762000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562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1</xdr:col>
      <xdr:colOff>762000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562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1</xdr:col>
      <xdr:colOff>628650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1562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1</xdr:col>
      <xdr:colOff>638175</xdr:colOff>
      <xdr:row>5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552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180975</xdr:rowOff>
    </xdr:from>
    <xdr:to>
      <xdr:col>1</xdr:col>
      <xdr:colOff>609600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1438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142875</xdr:rowOff>
    </xdr:from>
    <xdr:to>
      <xdr:col>1</xdr:col>
      <xdr:colOff>581025</xdr:colOff>
      <xdr:row>6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543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161925</xdr:rowOff>
    </xdr:from>
    <xdr:to>
      <xdr:col>1</xdr:col>
      <xdr:colOff>600075</xdr:colOff>
      <xdr:row>6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1543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85725</xdr:rowOff>
    </xdr:from>
    <xdr:to>
      <xdr:col>1</xdr:col>
      <xdr:colOff>762000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15621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1</xdr:col>
      <xdr:colOff>762000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5621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1</xdr:col>
      <xdr:colOff>762000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562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1</xdr:col>
      <xdr:colOff>762000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562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1</xdr:col>
      <xdr:colOff>762000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562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1</xdr:col>
      <xdr:colOff>762000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562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1</xdr:col>
      <xdr:colOff>762000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562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1</xdr:col>
      <xdr:colOff>762000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562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icellocasinoandraceway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icellogamingandraceway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icellogamingandraceway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icellogamingandraceway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icellogamingandraceway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icellogamingandraceway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icellogamingandraceway.com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icellogamingandraceway.com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icellogamingandraceway.com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icellocasinoandraceway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icellocasinoandraceway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icellocasinoandraceway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icellocasinoandraceway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icellocasinoandraceway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icellocasinoandraceway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icellocasinoandraceway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icellocasinoandraceway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D14" sqref="D14"/>
    </sheetView>
  </sheetViews>
  <sheetFormatPr defaultColWidth="9.140625" defaultRowHeight="12.75"/>
  <cols>
    <col min="1" max="1" width="15.140625" style="3" customWidth="1"/>
    <col min="2" max="5" width="15.140625" style="15" customWidth="1"/>
    <col min="6" max="6" width="15.140625" style="16" customWidth="1"/>
    <col min="7" max="7" width="15.140625" style="15" customWidth="1"/>
  </cols>
  <sheetData>
    <row r="1" spans="1:11" ht="18">
      <c r="A1" s="35" t="s">
        <v>16</v>
      </c>
      <c r="B1" s="35"/>
      <c r="C1" s="35"/>
      <c r="D1" s="35"/>
      <c r="E1" s="35"/>
      <c r="F1" s="35"/>
      <c r="G1" s="35"/>
      <c r="H1" s="26"/>
      <c r="I1" s="26"/>
      <c r="J1" s="26"/>
      <c r="K1" s="26"/>
    </row>
    <row r="2" spans="1:11" ht="15">
      <c r="A2" s="36" t="s">
        <v>17</v>
      </c>
      <c r="B2" s="36"/>
      <c r="C2" s="36"/>
      <c r="D2" s="36"/>
      <c r="E2" s="36"/>
      <c r="F2" s="36"/>
      <c r="G2" s="36"/>
      <c r="H2" s="27"/>
      <c r="I2" s="27"/>
      <c r="J2" s="27"/>
      <c r="K2" s="27"/>
    </row>
    <row r="3" spans="1:11" s="1" customFormat="1" ht="15">
      <c r="A3" s="36" t="s">
        <v>18</v>
      </c>
      <c r="B3" s="36"/>
      <c r="C3" s="36"/>
      <c r="D3" s="36"/>
      <c r="E3" s="36"/>
      <c r="F3" s="36"/>
      <c r="G3" s="36"/>
      <c r="H3" s="27"/>
      <c r="I3" s="27"/>
      <c r="J3" s="27"/>
      <c r="K3" s="27"/>
    </row>
    <row r="4" spans="1:11" s="1" customFormat="1" ht="15">
      <c r="A4" s="37" t="s">
        <v>27</v>
      </c>
      <c r="B4" s="37"/>
      <c r="C4" s="37"/>
      <c r="D4" s="37"/>
      <c r="E4" s="37"/>
      <c r="F4" s="37"/>
      <c r="G4" s="37"/>
      <c r="H4" s="28"/>
      <c r="I4" s="28"/>
      <c r="J4" s="28"/>
      <c r="K4" s="28"/>
    </row>
    <row r="5" spans="1:11" s="1" customFormat="1" ht="13.5">
      <c r="A5" s="38" t="s">
        <v>20</v>
      </c>
      <c r="B5" s="38"/>
      <c r="C5" s="38"/>
      <c r="D5" s="38"/>
      <c r="E5" s="38"/>
      <c r="F5" s="38"/>
      <c r="G5" s="38"/>
      <c r="H5" s="29"/>
      <c r="I5" s="29"/>
      <c r="J5" s="29"/>
      <c r="K5" s="29"/>
    </row>
    <row r="6" spans="1:11" s="1" customFormat="1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7" customFormat="1" ht="14.25" customHeight="1">
      <c r="A7" s="39" t="s">
        <v>34</v>
      </c>
      <c r="B7" s="40"/>
      <c r="C7" s="40"/>
      <c r="D7" s="40"/>
      <c r="E7" s="40"/>
      <c r="F7" s="40"/>
      <c r="G7" s="41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1.25">
      <c r="A9" s="9"/>
      <c r="B9" s="10" t="s">
        <v>0</v>
      </c>
      <c r="C9" s="10" t="s">
        <v>21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1.25">
      <c r="A10" s="13" t="s">
        <v>11</v>
      </c>
      <c r="B10" s="8" t="s">
        <v>3</v>
      </c>
      <c r="C10" s="8" t="s">
        <v>26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">
      <c r="A12" s="22">
        <v>43918</v>
      </c>
      <c r="B12" s="15">
        <v>0</v>
      </c>
      <c r="C12" s="15">
        <v>0</v>
      </c>
      <c r="D12" s="15">
        <f aca="true" t="shared" si="0" ref="D12:D63">IF(ISBLANK(B12),"",B12-C12-E12)</f>
        <v>0</v>
      </c>
      <c r="E12" s="15">
        <v>0</v>
      </c>
      <c r="F12" s="16">
        <v>0</v>
      </c>
      <c r="G12" s="15">
        <v>0</v>
      </c>
    </row>
    <row r="13" spans="1:7" ht="12">
      <c r="A13" s="22">
        <f aca="true" t="shared" si="1" ref="A13:A63">+A12+7</f>
        <v>43925</v>
      </c>
      <c r="B13" s="15">
        <v>0</v>
      </c>
      <c r="C13" s="15">
        <v>0</v>
      </c>
      <c r="D13" s="15">
        <v>0</v>
      </c>
      <c r="E13" s="15">
        <v>0</v>
      </c>
      <c r="F13" s="16">
        <v>0</v>
      </c>
      <c r="G13" s="15">
        <v>0</v>
      </c>
    </row>
    <row r="14" spans="1:7" ht="12">
      <c r="A14" s="22">
        <f t="shared" si="1"/>
        <v>43932</v>
      </c>
      <c r="B14" s="15">
        <v>0</v>
      </c>
      <c r="C14" s="15">
        <v>0</v>
      </c>
      <c r="D14" s="15">
        <v>0</v>
      </c>
      <c r="E14" s="15">
        <v>0</v>
      </c>
      <c r="F14" s="16">
        <v>0</v>
      </c>
      <c r="G14" s="15">
        <v>0</v>
      </c>
    </row>
    <row r="15" spans="1:7" ht="12">
      <c r="A15" s="22">
        <f t="shared" si="1"/>
        <v>43939</v>
      </c>
      <c r="B15" s="15">
        <v>0</v>
      </c>
      <c r="C15" s="15">
        <v>0</v>
      </c>
      <c r="D15" s="15">
        <v>0</v>
      </c>
      <c r="E15" s="15">
        <v>0</v>
      </c>
      <c r="F15" s="16">
        <v>0</v>
      </c>
      <c r="G15" s="15">
        <v>0</v>
      </c>
    </row>
    <row r="16" spans="1:7" ht="12">
      <c r="A16" s="22">
        <f t="shared" si="1"/>
        <v>43946</v>
      </c>
      <c r="B16" s="15">
        <v>0</v>
      </c>
      <c r="C16" s="15">
        <v>0</v>
      </c>
      <c r="D16" s="15">
        <v>0</v>
      </c>
      <c r="E16" s="15">
        <v>0</v>
      </c>
      <c r="F16" s="16">
        <v>0</v>
      </c>
      <c r="G16" s="15">
        <v>0</v>
      </c>
    </row>
    <row r="17" spans="1:7" ht="12">
      <c r="A17" s="22">
        <f t="shared" si="1"/>
        <v>43953</v>
      </c>
      <c r="B17" s="15">
        <v>0</v>
      </c>
      <c r="C17" s="15">
        <v>0</v>
      </c>
      <c r="D17" s="15">
        <f t="shared" si="0"/>
        <v>0</v>
      </c>
      <c r="E17" s="15">
        <v>0</v>
      </c>
      <c r="F17" s="16">
        <v>0</v>
      </c>
      <c r="G17" s="15">
        <v>0</v>
      </c>
    </row>
    <row r="18" spans="1:7" ht="12">
      <c r="A18" s="22">
        <f t="shared" si="1"/>
        <v>43960</v>
      </c>
      <c r="B18" s="15">
        <v>0</v>
      </c>
      <c r="C18" s="15">
        <v>0</v>
      </c>
      <c r="D18" s="15">
        <f t="shared" si="0"/>
        <v>0</v>
      </c>
      <c r="E18" s="15">
        <v>0</v>
      </c>
      <c r="F18" s="16">
        <v>0</v>
      </c>
      <c r="G18" s="15">
        <v>0</v>
      </c>
    </row>
    <row r="19" spans="1:7" ht="12">
      <c r="A19" s="22">
        <f t="shared" si="1"/>
        <v>43967</v>
      </c>
      <c r="B19" s="15">
        <v>0</v>
      </c>
      <c r="C19" s="15">
        <v>0</v>
      </c>
      <c r="D19" s="15">
        <f t="shared" si="0"/>
        <v>0</v>
      </c>
      <c r="E19" s="15">
        <v>0</v>
      </c>
      <c r="F19" s="16">
        <v>0</v>
      </c>
      <c r="G19" s="15">
        <v>0</v>
      </c>
    </row>
    <row r="20" spans="1:7" ht="12">
      <c r="A20" s="22">
        <f t="shared" si="1"/>
        <v>43974</v>
      </c>
      <c r="B20" s="15">
        <v>0</v>
      </c>
      <c r="C20" s="15">
        <v>0</v>
      </c>
      <c r="D20" s="15">
        <f t="shared" si="0"/>
        <v>0</v>
      </c>
      <c r="E20" s="15">
        <v>0</v>
      </c>
      <c r="F20" s="16">
        <v>0</v>
      </c>
      <c r="G20" s="15">
        <v>0</v>
      </c>
    </row>
    <row r="21" spans="1:7" ht="12">
      <c r="A21" s="22">
        <f t="shared" si="1"/>
        <v>43981</v>
      </c>
      <c r="B21" s="15">
        <v>0</v>
      </c>
      <c r="C21" s="15">
        <v>0</v>
      </c>
      <c r="D21" s="15">
        <f t="shared" si="0"/>
        <v>0</v>
      </c>
      <c r="E21" s="15">
        <v>0</v>
      </c>
      <c r="F21" s="16">
        <v>0</v>
      </c>
      <c r="G21" s="15">
        <v>0</v>
      </c>
    </row>
    <row r="22" spans="1:7" ht="12">
      <c r="A22" s="22">
        <f t="shared" si="1"/>
        <v>43988</v>
      </c>
      <c r="B22" s="15">
        <v>0</v>
      </c>
      <c r="C22" s="15">
        <v>0</v>
      </c>
      <c r="D22" s="15">
        <f t="shared" si="0"/>
        <v>0</v>
      </c>
      <c r="E22" s="15">
        <v>0</v>
      </c>
      <c r="F22" s="16">
        <v>0</v>
      </c>
      <c r="G22" s="15">
        <v>0</v>
      </c>
    </row>
    <row r="23" spans="1:7" ht="12">
      <c r="A23" s="22">
        <f t="shared" si="1"/>
        <v>43995</v>
      </c>
      <c r="B23" s="15">
        <v>0</v>
      </c>
      <c r="C23" s="15">
        <v>0</v>
      </c>
      <c r="D23" s="15">
        <f t="shared" si="0"/>
        <v>0</v>
      </c>
      <c r="E23" s="15">
        <v>0</v>
      </c>
      <c r="F23" s="16">
        <v>0</v>
      </c>
      <c r="G23" s="15">
        <v>0</v>
      </c>
    </row>
    <row r="24" spans="1:7" ht="12">
      <c r="A24" s="22">
        <f t="shared" si="1"/>
        <v>44002</v>
      </c>
      <c r="B24" s="15">
        <v>0</v>
      </c>
      <c r="C24" s="15">
        <v>0</v>
      </c>
      <c r="D24" s="15">
        <f t="shared" si="0"/>
        <v>0</v>
      </c>
      <c r="E24" s="15">
        <v>0</v>
      </c>
      <c r="F24" s="16">
        <v>0</v>
      </c>
      <c r="G24" s="15">
        <v>0</v>
      </c>
    </row>
    <row r="25" spans="1:7" ht="12">
      <c r="A25" s="22">
        <f t="shared" si="1"/>
        <v>44009</v>
      </c>
      <c r="B25" s="15">
        <v>0</v>
      </c>
      <c r="C25" s="15">
        <v>0</v>
      </c>
      <c r="D25" s="15">
        <f t="shared" si="0"/>
        <v>0</v>
      </c>
      <c r="E25" s="15">
        <v>0</v>
      </c>
      <c r="F25" s="16">
        <v>0</v>
      </c>
      <c r="G25" s="15">
        <v>0</v>
      </c>
    </row>
    <row r="26" spans="1:7" ht="12">
      <c r="A26" s="22">
        <f t="shared" si="1"/>
        <v>44016</v>
      </c>
      <c r="B26" s="15">
        <v>0</v>
      </c>
      <c r="C26" s="15">
        <v>0</v>
      </c>
      <c r="D26" s="15">
        <f t="shared" si="0"/>
        <v>0</v>
      </c>
      <c r="E26" s="15">
        <v>0</v>
      </c>
      <c r="F26" s="16">
        <v>0</v>
      </c>
      <c r="G26" s="15">
        <v>0</v>
      </c>
    </row>
    <row r="27" spans="1:7" ht="12">
      <c r="A27" s="22">
        <f t="shared" si="1"/>
        <v>44023</v>
      </c>
      <c r="B27" s="15">
        <v>0</v>
      </c>
      <c r="C27" s="15">
        <v>0</v>
      </c>
      <c r="D27" s="15">
        <f t="shared" si="0"/>
        <v>0</v>
      </c>
      <c r="E27" s="15">
        <v>0</v>
      </c>
      <c r="F27" s="16">
        <v>0</v>
      </c>
      <c r="G27" s="15">
        <v>0</v>
      </c>
    </row>
    <row r="28" spans="1:7" ht="12">
      <c r="A28" s="22">
        <f t="shared" si="1"/>
        <v>44030</v>
      </c>
      <c r="B28" s="15">
        <v>0</v>
      </c>
      <c r="C28" s="15">
        <v>0</v>
      </c>
      <c r="D28" s="15">
        <f t="shared" si="0"/>
        <v>0</v>
      </c>
      <c r="E28" s="15">
        <v>0</v>
      </c>
      <c r="F28" s="16">
        <v>0</v>
      </c>
      <c r="G28" s="15">
        <v>0</v>
      </c>
    </row>
    <row r="29" spans="1:7" ht="12">
      <c r="A29" s="22">
        <f t="shared" si="1"/>
        <v>44037</v>
      </c>
      <c r="B29" s="15">
        <v>0</v>
      </c>
      <c r="C29" s="15">
        <v>0</v>
      </c>
      <c r="D29" s="15">
        <f t="shared" si="0"/>
        <v>0</v>
      </c>
      <c r="E29" s="15">
        <v>0</v>
      </c>
      <c r="F29" s="16">
        <v>0</v>
      </c>
      <c r="G29" s="15">
        <v>0</v>
      </c>
    </row>
    <row r="30" spans="1:7" ht="12">
      <c r="A30" s="22">
        <f t="shared" si="1"/>
        <v>44044</v>
      </c>
      <c r="B30" s="15">
        <v>0</v>
      </c>
      <c r="C30" s="15">
        <v>0</v>
      </c>
      <c r="D30" s="15">
        <f t="shared" si="0"/>
        <v>0</v>
      </c>
      <c r="E30" s="15">
        <v>0</v>
      </c>
      <c r="F30" s="16">
        <v>0</v>
      </c>
      <c r="G30" s="15">
        <v>0</v>
      </c>
    </row>
    <row r="31" spans="1:7" ht="12">
      <c r="A31" s="22">
        <f t="shared" si="1"/>
        <v>44051</v>
      </c>
      <c r="B31" s="15">
        <v>0</v>
      </c>
      <c r="C31" s="15">
        <v>0</v>
      </c>
      <c r="D31" s="15">
        <f t="shared" si="0"/>
        <v>0</v>
      </c>
      <c r="E31" s="15">
        <v>0</v>
      </c>
      <c r="F31" s="16">
        <v>0</v>
      </c>
      <c r="G31" s="15">
        <v>0</v>
      </c>
    </row>
    <row r="32" spans="1:7" ht="12">
      <c r="A32" s="22">
        <f t="shared" si="1"/>
        <v>44058</v>
      </c>
      <c r="B32" s="15">
        <v>0</v>
      </c>
      <c r="C32" s="15">
        <v>0</v>
      </c>
      <c r="D32" s="15">
        <f t="shared" si="0"/>
        <v>0</v>
      </c>
      <c r="E32" s="15">
        <v>0</v>
      </c>
      <c r="F32" s="16">
        <v>0</v>
      </c>
      <c r="G32" s="15">
        <v>0</v>
      </c>
    </row>
    <row r="33" spans="1:7" ht="12">
      <c r="A33" s="22">
        <f t="shared" si="1"/>
        <v>44065</v>
      </c>
      <c r="B33" s="15">
        <v>0</v>
      </c>
      <c r="C33" s="15">
        <v>0</v>
      </c>
      <c r="D33" s="15">
        <f t="shared" si="0"/>
        <v>0</v>
      </c>
      <c r="E33" s="15">
        <v>0</v>
      </c>
      <c r="F33" s="16">
        <v>0</v>
      </c>
      <c r="G33" s="15">
        <v>0</v>
      </c>
    </row>
    <row r="34" spans="1:7" ht="12">
      <c r="A34" s="22">
        <f t="shared" si="1"/>
        <v>44072</v>
      </c>
      <c r="B34" s="15">
        <v>0</v>
      </c>
      <c r="C34" s="15">
        <v>0</v>
      </c>
      <c r="D34" s="15">
        <f t="shared" si="0"/>
        <v>0</v>
      </c>
      <c r="E34" s="15">
        <v>0</v>
      </c>
      <c r="F34" s="16">
        <v>0</v>
      </c>
      <c r="G34" s="15">
        <v>0</v>
      </c>
    </row>
    <row r="35" spans="1:7" ht="12">
      <c r="A35" s="22">
        <f t="shared" si="1"/>
        <v>44079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6">
        <v>0</v>
      </c>
      <c r="G35" s="15">
        <v>0</v>
      </c>
    </row>
    <row r="36" spans="1:7" ht="12">
      <c r="A36" s="22">
        <f t="shared" si="1"/>
        <v>44086</v>
      </c>
      <c r="B36" s="15">
        <v>0</v>
      </c>
      <c r="C36" s="15">
        <v>0</v>
      </c>
      <c r="D36" s="15">
        <f t="shared" si="0"/>
        <v>0</v>
      </c>
      <c r="E36" s="15">
        <v>0</v>
      </c>
      <c r="F36" s="16">
        <v>0</v>
      </c>
      <c r="G36" s="15">
        <v>0</v>
      </c>
    </row>
    <row r="37" spans="1:7" ht="12">
      <c r="A37" s="22">
        <f t="shared" si="1"/>
        <v>44093</v>
      </c>
      <c r="B37" s="15">
        <v>0</v>
      </c>
      <c r="C37" s="15">
        <v>0</v>
      </c>
      <c r="D37" s="15">
        <f t="shared" si="0"/>
        <v>0</v>
      </c>
      <c r="E37" s="15">
        <v>0</v>
      </c>
      <c r="F37" s="16">
        <v>0</v>
      </c>
      <c r="G37" s="15">
        <v>0</v>
      </c>
    </row>
    <row r="38" spans="1:7" ht="12">
      <c r="A38" s="22">
        <f t="shared" si="1"/>
        <v>44100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6">
        <v>0</v>
      </c>
      <c r="G38" s="15">
        <v>0</v>
      </c>
    </row>
    <row r="39" spans="1:7" ht="12">
      <c r="A39" s="22">
        <f t="shared" si="1"/>
        <v>44107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6">
        <v>0</v>
      </c>
      <c r="G39" s="15">
        <v>0</v>
      </c>
    </row>
    <row r="40" spans="1:7" ht="12">
      <c r="A40" s="22">
        <f t="shared" si="1"/>
        <v>44114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6">
        <v>0</v>
      </c>
      <c r="G40" s="15">
        <v>0</v>
      </c>
    </row>
    <row r="41" spans="1:7" ht="12">
      <c r="A41" s="22">
        <f t="shared" si="1"/>
        <v>44121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6">
        <v>0</v>
      </c>
      <c r="G41" s="15">
        <v>0</v>
      </c>
    </row>
    <row r="42" spans="1:7" ht="12">
      <c r="A42" s="22">
        <f t="shared" si="1"/>
        <v>44128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6">
        <v>0</v>
      </c>
      <c r="G42" s="15">
        <v>0</v>
      </c>
    </row>
    <row r="43" spans="1:7" ht="12">
      <c r="A43" s="22">
        <f t="shared" si="1"/>
        <v>44135</v>
      </c>
      <c r="B43" s="15">
        <v>0</v>
      </c>
      <c r="C43" s="15">
        <v>0</v>
      </c>
      <c r="D43" s="15">
        <f t="shared" si="0"/>
        <v>0</v>
      </c>
      <c r="E43" s="15">
        <v>0</v>
      </c>
      <c r="F43" s="16">
        <v>0</v>
      </c>
      <c r="G43" s="15">
        <v>0</v>
      </c>
    </row>
    <row r="44" spans="1:7" ht="12">
      <c r="A44" s="22">
        <f t="shared" si="1"/>
        <v>44142</v>
      </c>
      <c r="B44" s="15">
        <v>0</v>
      </c>
      <c r="C44" s="15">
        <v>0</v>
      </c>
      <c r="D44" s="15">
        <f t="shared" si="0"/>
        <v>0</v>
      </c>
      <c r="E44" s="15">
        <v>0</v>
      </c>
      <c r="F44" s="16">
        <v>0</v>
      </c>
      <c r="G44" s="15">
        <v>0</v>
      </c>
    </row>
    <row r="45" spans="1:7" ht="12">
      <c r="A45" s="22">
        <f t="shared" si="1"/>
        <v>44149</v>
      </c>
      <c r="B45" s="15">
        <v>0</v>
      </c>
      <c r="C45" s="15">
        <v>0</v>
      </c>
      <c r="D45" s="15">
        <f t="shared" si="0"/>
        <v>0</v>
      </c>
      <c r="E45" s="15">
        <v>0</v>
      </c>
      <c r="F45" s="16">
        <v>0</v>
      </c>
      <c r="G45" s="15">
        <v>0</v>
      </c>
    </row>
    <row r="46" spans="1:7" ht="12">
      <c r="A46" s="22">
        <f t="shared" si="1"/>
        <v>44156</v>
      </c>
      <c r="B46" s="15">
        <v>0</v>
      </c>
      <c r="C46" s="15">
        <v>0</v>
      </c>
      <c r="D46" s="15">
        <f t="shared" si="0"/>
        <v>0</v>
      </c>
      <c r="E46" s="15">
        <v>0</v>
      </c>
      <c r="F46" s="16">
        <v>0</v>
      </c>
      <c r="G46" s="15">
        <v>0</v>
      </c>
    </row>
    <row r="47" spans="1:7" ht="12">
      <c r="A47" s="22">
        <f t="shared" si="1"/>
        <v>44163</v>
      </c>
      <c r="B47" s="15">
        <v>0</v>
      </c>
      <c r="C47" s="15">
        <v>0</v>
      </c>
      <c r="D47" s="15">
        <f t="shared" si="0"/>
        <v>0</v>
      </c>
      <c r="E47" s="15">
        <v>0</v>
      </c>
      <c r="F47" s="16">
        <v>0</v>
      </c>
      <c r="G47" s="15">
        <v>0</v>
      </c>
    </row>
    <row r="48" spans="1:7" ht="12">
      <c r="A48" s="22">
        <f t="shared" si="1"/>
        <v>44170</v>
      </c>
      <c r="B48" s="15">
        <v>0</v>
      </c>
      <c r="C48" s="15">
        <v>0</v>
      </c>
      <c r="D48" s="15">
        <f t="shared" si="0"/>
        <v>0</v>
      </c>
      <c r="E48" s="15">
        <v>0</v>
      </c>
      <c r="F48" s="16">
        <v>0</v>
      </c>
      <c r="G48" s="15">
        <v>0</v>
      </c>
    </row>
    <row r="49" spans="1:7" ht="12">
      <c r="A49" s="22">
        <f t="shared" si="1"/>
        <v>44177</v>
      </c>
      <c r="B49" s="15">
        <v>0</v>
      </c>
      <c r="C49" s="15">
        <v>0</v>
      </c>
      <c r="D49" s="15">
        <f t="shared" si="0"/>
        <v>0</v>
      </c>
      <c r="E49" s="15">
        <v>0</v>
      </c>
      <c r="F49" s="16">
        <v>0</v>
      </c>
      <c r="G49" s="15">
        <v>0</v>
      </c>
    </row>
    <row r="50" spans="1:7" ht="12">
      <c r="A50" s="22">
        <f t="shared" si="1"/>
        <v>44184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6">
        <v>0</v>
      </c>
      <c r="G50" s="15">
        <v>0</v>
      </c>
    </row>
    <row r="51" spans="1:7" ht="12">
      <c r="A51" s="22">
        <f t="shared" si="1"/>
        <v>44191</v>
      </c>
      <c r="B51" s="15">
        <v>0</v>
      </c>
      <c r="C51" s="15">
        <v>0</v>
      </c>
      <c r="D51" s="15">
        <f t="shared" si="0"/>
        <v>0</v>
      </c>
      <c r="E51" s="15">
        <v>0</v>
      </c>
      <c r="F51" s="16">
        <v>0</v>
      </c>
      <c r="G51" s="15">
        <v>0</v>
      </c>
    </row>
    <row r="52" spans="1:7" ht="12">
      <c r="A52" s="22">
        <f t="shared" si="1"/>
        <v>44198</v>
      </c>
      <c r="B52" s="15">
        <v>0</v>
      </c>
      <c r="C52" s="15">
        <v>0</v>
      </c>
      <c r="D52" s="15">
        <f t="shared" si="0"/>
        <v>0</v>
      </c>
      <c r="E52" s="15">
        <v>0</v>
      </c>
      <c r="F52" s="16">
        <v>0</v>
      </c>
      <c r="G52" s="15">
        <v>0</v>
      </c>
    </row>
    <row r="53" spans="1:7" ht="12">
      <c r="A53" s="22">
        <f t="shared" si="1"/>
        <v>44205</v>
      </c>
      <c r="B53" s="15">
        <v>0</v>
      </c>
      <c r="C53" s="15">
        <v>0</v>
      </c>
      <c r="D53" s="15">
        <f t="shared" si="0"/>
        <v>0</v>
      </c>
      <c r="E53" s="15">
        <v>0</v>
      </c>
      <c r="F53" s="16">
        <v>0</v>
      </c>
      <c r="G53" s="15">
        <v>0</v>
      </c>
    </row>
    <row r="54" spans="1:7" ht="12">
      <c r="A54" s="22">
        <f t="shared" si="1"/>
        <v>44212</v>
      </c>
      <c r="B54" s="15">
        <v>0</v>
      </c>
      <c r="C54" s="15">
        <v>0</v>
      </c>
      <c r="D54" s="15">
        <f t="shared" si="0"/>
        <v>0</v>
      </c>
      <c r="E54" s="15">
        <v>0</v>
      </c>
      <c r="F54" s="16">
        <v>0</v>
      </c>
      <c r="G54" s="15">
        <v>0</v>
      </c>
    </row>
    <row r="55" spans="1:7" ht="12">
      <c r="A55" s="22">
        <f t="shared" si="1"/>
        <v>44219</v>
      </c>
      <c r="B55" s="15">
        <v>0</v>
      </c>
      <c r="C55" s="15">
        <v>0</v>
      </c>
      <c r="D55" s="15">
        <f t="shared" si="0"/>
        <v>0</v>
      </c>
      <c r="E55" s="15">
        <v>0</v>
      </c>
      <c r="F55" s="16">
        <v>0</v>
      </c>
      <c r="G55" s="15">
        <v>0</v>
      </c>
    </row>
    <row r="56" spans="1:7" ht="12">
      <c r="A56" s="22">
        <f t="shared" si="1"/>
        <v>44226</v>
      </c>
      <c r="B56" s="15">
        <v>0</v>
      </c>
      <c r="C56" s="15">
        <v>0</v>
      </c>
      <c r="D56" s="15">
        <f t="shared" si="0"/>
        <v>0</v>
      </c>
      <c r="E56" s="15">
        <v>0</v>
      </c>
      <c r="F56" s="16">
        <v>0</v>
      </c>
      <c r="G56" s="15">
        <v>0</v>
      </c>
    </row>
    <row r="57" spans="1:7" ht="12">
      <c r="A57" s="22">
        <f t="shared" si="1"/>
        <v>44233</v>
      </c>
      <c r="B57" s="15">
        <v>0</v>
      </c>
      <c r="C57" s="15">
        <v>0</v>
      </c>
      <c r="D57" s="15">
        <f t="shared" si="0"/>
        <v>0</v>
      </c>
      <c r="E57" s="15">
        <v>0</v>
      </c>
      <c r="F57" s="16">
        <v>0</v>
      </c>
      <c r="G57" s="15">
        <v>0</v>
      </c>
    </row>
    <row r="58" spans="1:7" ht="12">
      <c r="A58" s="22">
        <f t="shared" si="1"/>
        <v>44240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6">
        <v>0</v>
      </c>
      <c r="G58" s="15">
        <v>0</v>
      </c>
    </row>
    <row r="59" spans="1:7" ht="12">
      <c r="A59" s="22">
        <f t="shared" si="1"/>
        <v>44247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6">
        <v>0</v>
      </c>
      <c r="G59" s="15">
        <v>0</v>
      </c>
    </row>
    <row r="60" spans="1:7" ht="12">
      <c r="A60" s="22">
        <f t="shared" si="1"/>
        <v>44254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6">
        <v>0</v>
      </c>
      <c r="G60" s="15">
        <v>0</v>
      </c>
    </row>
    <row r="61" spans="1:7" ht="12">
      <c r="A61" s="22">
        <f t="shared" si="1"/>
        <v>44261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6">
        <v>0</v>
      </c>
      <c r="G61" s="15">
        <v>0</v>
      </c>
    </row>
    <row r="62" spans="1:7" ht="12">
      <c r="A62" s="22">
        <f t="shared" si="1"/>
        <v>44268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6">
        <v>0</v>
      </c>
      <c r="G62" s="15">
        <v>0</v>
      </c>
    </row>
    <row r="63" spans="1:7" ht="12">
      <c r="A63" s="22">
        <f t="shared" si="1"/>
        <v>44275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6">
        <v>0</v>
      </c>
      <c r="G63" s="15">
        <v>0</v>
      </c>
    </row>
    <row r="64" ht="12">
      <c r="A64" s="22"/>
    </row>
    <row r="65" spans="1:7" ht="12.75" thickBot="1">
      <c r="A65" s="3" t="s">
        <v>8</v>
      </c>
      <c r="B65" s="17">
        <f>SUM(B12:B64)</f>
        <v>0</v>
      </c>
      <c r="C65" s="17">
        <f>SUM(C12:C64)</f>
        <v>0</v>
      </c>
      <c r="D65" s="17">
        <f>SUM(D12:D64)</f>
        <v>0</v>
      </c>
      <c r="E65" s="17">
        <f>SUM(E12:E64)</f>
        <v>0</v>
      </c>
      <c r="F65" s="24">
        <f>_xlfn.IFERROR(SUM(F12:F64)/COUNT(F12:F64)," ")</f>
        <v>0</v>
      </c>
      <c r="G65" s="17">
        <v>45</v>
      </c>
    </row>
    <row r="66" spans="1:5" s="21" customFormat="1" ht="12.75" thickTop="1">
      <c r="A66" s="19"/>
      <c r="B66" s="20"/>
      <c r="C66" s="20"/>
      <c r="D66" s="20"/>
      <c r="E66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monticellocasinoandraceway.com"/>
  </hyperlinks>
  <printOptions horizontalCentered="1"/>
  <pageMargins left="0" right="0" top="0.5" bottom="0.5" header="0.5" footer="0.5"/>
  <pageSetup fitToHeight="1" fitToWidth="1" horizontalDpi="600" verticalDpi="600" orientation="portrait" scale="8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15.140625" style="3" customWidth="1"/>
    <col min="2" max="5" width="15.140625" style="15" customWidth="1"/>
    <col min="6" max="6" width="15.140625" style="16" customWidth="1"/>
    <col min="7" max="7" width="15.140625" style="15" customWidth="1"/>
  </cols>
  <sheetData>
    <row r="1" spans="1:11" ht="18">
      <c r="A1" s="35" t="s">
        <v>16</v>
      </c>
      <c r="B1" s="35"/>
      <c r="C1" s="35"/>
      <c r="D1" s="35"/>
      <c r="E1" s="35"/>
      <c r="F1" s="35"/>
      <c r="G1" s="35"/>
      <c r="H1" s="26"/>
      <c r="I1" s="26"/>
      <c r="J1" s="26"/>
      <c r="K1" s="26"/>
    </row>
    <row r="2" spans="1:11" ht="15">
      <c r="A2" s="36" t="s">
        <v>17</v>
      </c>
      <c r="B2" s="36"/>
      <c r="C2" s="36"/>
      <c r="D2" s="36"/>
      <c r="E2" s="36"/>
      <c r="F2" s="36"/>
      <c r="G2" s="36"/>
      <c r="H2" s="27"/>
      <c r="I2" s="27"/>
      <c r="J2" s="27"/>
      <c r="K2" s="27"/>
    </row>
    <row r="3" spans="1:11" s="1" customFormat="1" ht="15">
      <c r="A3" s="36" t="s">
        <v>18</v>
      </c>
      <c r="B3" s="36"/>
      <c r="C3" s="36"/>
      <c r="D3" s="36"/>
      <c r="E3" s="36"/>
      <c r="F3" s="36"/>
      <c r="G3" s="36"/>
      <c r="H3" s="27"/>
      <c r="I3" s="27"/>
      <c r="J3" s="27"/>
      <c r="K3" s="27"/>
    </row>
    <row r="4" spans="1:11" s="1" customFormat="1" ht="13.5">
      <c r="A4" s="42" t="s">
        <v>19</v>
      </c>
      <c r="B4" s="42"/>
      <c r="C4" s="42"/>
      <c r="D4" s="42"/>
      <c r="E4" s="42"/>
      <c r="F4" s="42"/>
      <c r="G4" s="42"/>
      <c r="H4" s="28"/>
      <c r="I4" s="28"/>
      <c r="J4" s="28"/>
      <c r="K4" s="28"/>
    </row>
    <row r="5" spans="1:11" s="1" customFormat="1" ht="13.5">
      <c r="A5" s="38" t="s">
        <v>20</v>
      </c>
      <c r="B5" s="38"/>
      <c r="C5" s="38"/>
      <c r="D5" s="38"/>
      <c r="E5" s="38"/>
      <c r="F5" s="38"/>
      <c r="G5" s="38"/>
      <c r="H5" s="29"/>
      <c r="I5" s="29"/>
      <c r="J5" s="29"/>
      <c r="K5" s="29"/>
    </row>
    <row r="6" spans="1:11" s="1" customFormat="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1" customFormat="1" ht="12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24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1.25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1.25">
      <c r="A11" s="13" t="s">
        <v>11</v>
      </c>
      <c r="B11" s="8" t="s">
        <v>3</v>
      </c>
      <c r="C11" s="8" t="s">
        <v>26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">
      <c r="A13" s="22">
        <v>40635</v>
      </c>
      <c r="B13" s="15">
        <v>15584103.45</v>
      </c>
      <c r="C13" s="15">
        <v>148736.45</v>
      </c>
      <c r="D13" s="15">
        <f aca="true" t="shared" si="0" ref="D13:D64">+B13-C13-E13</f>
        <v>14297508</v>
      </c>
      <c r="E13" s="15">
        <v>1137859</v>
      </c>
      <c r="F13" s="16">
        <v>1110</v>
      </c>
      <c r="G13" s="15">
        <v>146</v>
      </c>
    </row>
    <row r="14" spans="1:7" ht="12">
      <c r="A14" s="22">
        <f aca="true" t="shared" si="1" ref="A14:A45">+A13+7</f>
        <v>40642</v>
      </c>
      <c r="B14" s="15">
        <v>16126766.19</v>
      </c>
      <c r="C14" s="15">
        <v>132420.19</v>
      </c>
      <c r="D14" s="15">
        <f t="shared" si="0"/>
        <v>14827496</v>
      </c>
      <c r="E14" s="15">
        <v>1166850</v>
      </c>
      <c r="F14" s="16">
        <v>1110</v>
      </c>
      <c r="G14" s="15">
        <v>150</v>
      </c>
    </row>
    <row r="15" spans="1:7" ht="12">
      <c r="A15" s="22">
        <f t="shared" si="1"/>
        <v>40649</v>
      </c>
      <c r="B15" s="15">
        <v>14906386.46</v>
      </c>
      <c r="C15" s="15">
        <v>113946.46</v>
      </c>
      <c r="D15" s="15">
        <f t="shared" si="0"/>
        <v>13724716</v>
      </c>
      <c r="E15" s="15">
        <v>1067724</v>
      </c>
      <c r="F15" s="16">
        <v>1110</v>
      </c>
      <c r="G15" s="15">
        <v>137</v>
      </c>
    </row>
    <row r="16" spans="1:7" ht="12">
      <c r="A16" s="22">
        <f t="shared" si="1"/>
        <v>40656</v>
      </c>
      <c r="B16" s="15">
        <v>16890498.64</v>
      </c>
      <c r="C16" s="15">
        <v>121808.64</v>
      </c>
      <c r="D16" s="15">
        <f t="shared" si="0"/>
        <v>15530930</v>
      </c>
      <c r="E16" s="15">
        <v>1237760</v>
      </c>
      <c r="F16" s="16">
        <v>1110</v>
      </c>
      <c r="G16" s="15">
        <v>159</v>
      </c>
    </row>
    <row r="17" spans="1:7" ht="12">
      <c r="A17" s="22">
        <f t="shared" si="1"/>
        <v>40663</v>
      </c>
      <c r="B17" s="15">
        <v>16957282.81</v>
      </c>
      <c r="C17" s="15">
        <v>97984.81</v>
      </c>
      <c r="D17" s="15">
        <f t="shared" si="0"/>
        <v>15625225</v>
      </c>
      <c r="E17" s="15">
        <v>1234073</v>
      </c>
      <c r="F17" s="16">
        <v>1110</v>
      </c>
      <c r="G17" s="15">
        <v>159</v>
      </c>
    </row>
    <row r="18" spans="1:7" ht="12">
      <c r="A18" s="22">
        <f t="shared" si="1"/>
        <v>40670</v>
      </c>
      <c r="B18" s="15">
        <v>16460633.55</v>
      </c>
      <c r="C18" s="15">
        <v>133724.55</v>
      </c>
      <c r="D18" s="15">
        <f t="shared" si="0"/>
        <v>15152911</v>
      </c>
      <c r="E18" s="15">
        <v>1173998</v>
      </c>
      <c r="F18" s="16">
        <v>1110</v>
      </c>
      <c r="G18" s="15">
        <v>151</v>
      </c>
    </row>
    <row r="19" spans="1:7" ht="12">
      <c r="A19" s="22">
        <f t="shared" si="1"/>
        <v>40677</v>
      </c>
      <c r="B19" s="15">
        <v>17503128.34</v>
      </c>
      <c r="C19" s="15">
        <v>138376.34</v>
      </c>
      <c r="D19" s="15">
        <f t="shared" si="0"/>
        <v>16140948</v>
      </c>
      <c r="E19" s="15">
        <v>1223804</v>
      </c>
      <c r="F19" s="16">
        <v>1110</v>
      </c>
      <c r="G19" s="15">
        <v>158</v>
      </c>
    </row>
    <row r="20" spans="1:7" ht="12">
      <c r="A20" s="22">
        <f t="shared" si="1"/>
        <v>40684</v>
      </c>
      <c r="B20" s="15">
        <v>16348061.65</v>
      </c>
      <c r="C20" s="15">
        <v>129521.65</v>
      </c>
      <c r="D20" s="15">
        <f t="shared" si="0"/>
        <v>15062336</v>
      </c>
      <c r="E20" s="15">
        <v>1156204</v>
      </c>
      <c r="F20" s="16">
        <v>1110</v>
      </c>
      <c r="G20" s="15">
        <v>149</v>
      </c>
    </row>
    <row r="21" spans="1:7" ht="12">
      <c r="A21" s="22">
        <f t="shared" si="1"/>
        <v>40691</v>
      </c>
      <c r="B21" s="15">
        <v>18124864.92</v>
      </c>
      <c r="C21" s="15">
        <v>115349.92</v>
      </c>
      <c r="D21" s="15">
        <f t="shared" si="0"/>
        <v>16744952</v>
      </c>
      <c r="E21" s="15">
        <v>1264563</v>
      </c>
      <c r="F21" s="16">
        <v>1110</v>
      </c>
      <c r="G21" s="15">
        <v>163</v>
      </c>
    </row>
    <row r="22" spans="1:7" ht="12">
      <c r="A22" s="22">
        <f t="shared" si="1"/>
        <v>40698</v>
      </c>
      <c r="B22" s="15">
        <v>20033936.18</v>
      </c>
      <c r="C22" s="15">
        <v>218907.18</v>
      </c>
      <c r="D22" s="15">
        <f t="shared" si="0"/>
        <v>18391948</v>
      </c>
      <c r="E22" s="15">
        <v>1423081</v>
      </c>
      <c r="F22" s="16">
        <v>1110</v>
      </c>
      <c r="G22" s="15">
        <v>183</v>
      </c>
    </row>
    <row r="23" spans="1:7" ht="12">
      <c r="A23" s="22">
        <f t="shared" si="1"/>
        <v>40705</v>
      </c>
      <c r="B23" s="15">
        <v>17280099.85</v>
      </c>
      <c r="C23" s="15">
        <v>122666.85</v>
      </c>
      <c r="D23" s="15">
        <f t="shared" si="0"/>
        <v>15938545</v>
      </c>
      <c r="E23" s="15">
        <v>1218888</v>
      </c>
      <c r="F23" s="16">
        <v>1110</v>
      </c>
      <c r="G23" s="15">
        <v>157</v>
      </c>
    </row>
    <row r="24" spans="1:7" ht="12">
      <c r="A24" s="22">
        <f t="shared" si="1"/>
        <v>40712</v>
      </c>
      <c r="B24" s="15">
        <v>16829630.1</v>
      </c>
      <c r="C24" s="15">
        <v>108353.1</v>
      </c>
      <c r="D24" s="15">
        <f t="shared" si="0"/>
        <v>15431335.000000002</v>
      </c>
      <c r="E24" s="15">
        <v>1289942</v>
      </c>
      <c r="F24" s="16">
        <v>1110</v>
      </c>
      <c r="G24" s="15">
        <v>166</v>
      </c>
    </row>
    <row r="25" spans="1:7" ht="12">
      <c r="A25" s="22">
        <f t="shared" si="1"/>
        <v>40719</v>
      </c>
      <c r="B25" s="15">
        <v>17413526.61</v>
      </c>
      <c r="C25" s="15">
        <v>110922.61</v>
      </c>
      <c r="D25" s="15">
        <f t="shared" si="0"/>
        <v>16097178</v>
      </c>
      <c r="E25" s="15">
        <v>1205426</v>
      </c>
      <c r="F25" s="16">
        <v>1110</v>
      </c>
      <c r="G25" s="15">
        <v>155</v>
      </c>
    </row>
    <row r="26" spans="1:7" ht="12">
      <c r="A26" s="22">
        <f t="shared" si="1"/>
        <v>40726</v>
      </c>
      <c r="B26" s="15">
        <v>20804679.69</v>
      </c>
      <c r="C26" s="15">
        <v>152886.69</v>
      </c>
      <c r="D26" s="15">
        <f t="shared" si="0"/>
        <v>19164738</v>
      </c>
      <c r="E26" s="15">
        <v>1487055</v>
      </c>
      <c r="F26" s="16">
        <v>1110</v>
      </c>
      <c r="G26" s="15">
        <v>191</v>
      </c>
    </row>
    <row r="27" spans="1:7" ht="12">
      <c r="A27" s="22">
        <f t="shared" si="1"/>
        <v>40733</v>
      </c>
      <c r="B27" s="15">
        <v>21532688.7</v>
      </c>
      <c r="C27" s="15">
        <v>175866.7</v>
      </c>
      <c r="D27" s="15">
        <f t="shared" si="0"/>
        <v>19869438</v>
      </c>
      <c r="E27" s="15">
        <v>1487384</v>
      </c>
      <c r="F27" s="16">
        <v>1110</v>
      </c>
      <c r="G27" s="15">
        <v>191</v>
      </c>
    </row>
    <row r="28" spans="1:7" ht="12">
      <c r="A28" s="22">
        <f t="shared" si="1"/>
        <v>40740</v>
      </c>
      <c r="B28" s="15">
        <v>18480889.31</v>
      </c>
      <c r="C28" s="15">
        <v>162654.31</v>
      </c>
      <c r="D28" s="15">
        <f t="shared" si="0"/>
        <v>17020754</v>
      </c>
      <c r="E28" s="15">
        <v>1297481</v>
      </c>
      <c r="F28" s="16">
        <v>1110</v>
      </c>
      <c r="G28" s="15">
        <v>167</v>
      </c>
    </row>
    <row r="29" spans="1:7" ht="12">
      <c r="A29" s="22">
        <f t="shared" si="1"/>
        <v>40747</v>
      </c>
      <c r="B29" s="15">
        <v>18832750.11</v>
      </c>
      <c r="C29" s="15">
        <v>168683.11</v>
      </c>
      <c r="D29" s="15">
        <f t="shared" si="0"/>
        <v>17333434</v>
      </c>
      <c r="E29" s="15">
        <v>1330633</v>
      </c>
      <c r="F29" s="16">
        <v>1110</v>
      </c>
      <c r="G29" s="15">
        <v>171</v>
      </c>
    </row>
    <row r="30" spans="1:7" ht="12">
      <c r="A30" s="22">
        <f t="shared" si="1"/>
        <v>40754</v>
      </c>
      <c r="B30" s="15">
        <v>20286210.12</v>
      </c>
      <c r="C30" s="15">
        <v>176275.12</v>
      </c>
      <c r="D30" s="15">
        <f t="shared" si="0"/>
        <v>18738821</v>
      </c>
      <c r="E30" s="15">
        <v>1371114</v>
      </c>
      <c r="F30" s="16">
        <v>1110</v>
      </c>
      <c r="G30" s="15">
        <v>176</v>
      </c>
    </row>
    <row r="31" spans="1:7" ht="12">
      <c r="A31" s="22">
        <f t="shared" si="1"/>
        <v>40761</v>
      </c>
      <c r="B31" s="15">
        <v>19669830.79</v>
      </c>
      <c r="C31" s="15">
        <v>176871.79</v>
      </c>
      <c r="D31" s="15">
        <f t="shared" si="0"/>
        <v>18098246</v>
      </c>
      <c r="E31" s="15">
        <v>1394713</v>
      </c>
      <c r="F31" s="16">
        <v>1110</v>
      </c>
      <c r="G31" s="15">
        <v>179</v>
      </c>
    </row>
    <row r="32" spans="1:7" ht="12">
      <c r="A32" s="22">
        <f t="shared" si="1"/>
        <v>40768</v>
      </c>
      <c r="B32" s="15">
        <v>19801943.45</v>
      </c>
      <c r="C32" s="15">
        <v>64357.45</v>
      </c>
      <c r="D32" s="15">
        <f t="shared" si="0"/>
        <v>18228794</v>
      </c>
      <c r="E32" s="15">
        <v>1508792</v>
      </c>
      <c r="F32" s="16">
        <v>1110</v>
      </c>
      <c r="G32" s="15">
        <v>194</v>
      </c>
    </row>
    <row r="33" spans="1:7" ht="12">
      <c r="A33" s="22">
        <f t="shared" si="1"/>
        <v>40775</v>
      </c>
      <c r="B33" s="15">
        <v>19277656.86</v>
      </c>
      <c r="C33" s="15">
        <v>176729.86</v>
      </c>
      <c r="D33" s="15">
        <f t="shared" si="0"/>
        <v>17727189</v>
      </c>
      <c r="E33" s="15">
        <v>1373738</v>
      </c>
      <c r="F33" s="16">
        <v>1110</v>
      </c>
      <c r="G33" s="15">
        <v>177</v>
      </c>
    </row>
    <row r="34" spans="1:7" ht="12">
      <c r="A34" s="22">
        <f t="shared" si="1"/>
        <v>40782</v>
      </c>
      <c r="B34" s="15">
        <v>17189264.95</v>
      </c>
      <c r="C34" s="15">
        <v>100292.95</v>
      </c>
      <c r="D34" s="15">
        <f t="shared" si="0"/>
        <v>15911613</v>
      </c>
      <c r="E34" s="15">
        <v>1177359</v>
      </c>
      <c r="F34" s="16">
        <v>1110</v>
      </c>
      <c r="G34" s="15">
        <v>152</v>
      </c>
    </row>
    <row r="35" spans="1:7" ht="12">
      <c r="A35" s="22">
        <f t="shared" si="1"/>
        <v>40789</v>
      </c>
      <c r="B35" s="15">
        <v>16099077.55</v>
      </c>
      <c r="C35" s="15">
        <v>55196.55</v>
      </c>
      <c r="D35" s="15">
        <f t="shared" si="0"/>
        <v>14847255</v>
      </c>
      <c r="E35" s="15">
        <v>1196626</v>
      </c>
      <c r="F35" s="16">
        <v>1110</v>
      </c>
      <c r="G35" s="15">
        <v>154</v>
      </c>
    </row>
    <row r="36" spans="1:7" ht="12">
      <c r="A36" s="22">
        <f t="shared" si="1"/>
        <v>40796</v>
      </c>
      <c r="B36" s="15">
        <v>20788901.1</v>
      </c>
      <c r="C36" s="15">
        <v>189280.1</v>
      </c>
      <c r="D36" s="15">
        <f t="shared" si="0"/>
        <v>19253842</v>
      </c>
      <c r="E36" s="15">
        <v>1345779</v>
      </c>
      <c r="F36" s="16">
        <v>1110</v>
      </c>
      <c r="G36" s="15">
        <v>173</v>
      </c>
    </row>
    <row r="37" spans="1:7" ht="12">
      <c r="A37" s="22">
        <f t="shared" si="1"/>
        <v>40803</v>
      </c>
      <c r="B37" s="15">
        <v>16412436.6</v>
      </c>
      <c r="C37" s="15">
        <v>144104.6</v>
      </c>
      <c r="D37" s="15">
        <f t="shared" si="0"/>
        <v>15153461</v>
      </c>
      <c r="E37" s="15">
        <v>1114871</v>
      </c>
      <c r="F37" s="16">
        <v>1110</v>
      </c>
      <c r="G37" s="15">
        <v>143</v>
      </c>
    </row>
    <row r="38" spans="1:7" ht="12">
      <c r="A38" s="22">
        <f t="shared" si="1"/>
        <v>40810</v>
      </c>
      <c r="B38" s="15">
        <v>19092477.41</v>
      </c>
      <c r="C38" s="15">
        <v>170567.41</v>
      </c>
      <c r="D38" s="15">
        <f t="shared" si="0"/>
        <v>17641861</v>
      </c>
      <c r="E38" s="15">
        <v>1280049</v>
      </c>
      <c r="F38" s="16">
        <v>1110</v>
      </c>
      <c r="G38" s="15">
        <v>165</v>
      </c>
    </row>
    <row r="39" spans="1:7" ht="12">
      <c r="A39" s="22">
        <f t="shared" si="1"/>
        <v>40817</v>
      </c>
      <c r="B39" s="15">
        <v>18594245.29</v>
      </c>
      <c r="C39" s="15">
        <v>116337.29</v>
      </c>
      <c r="D39" s="15">
        <f t="shared" si="0"/>
        <v>17212912</v>
      </c>
      <c r="E39" s="15">
        <v>1264996</v>
      </c>
      <c r="F39" s="16">
        <v>1110</v>
      </c>
      <c r="G39" s="15">
        <v>163</v>
      </c>
    </row>
    <row r="40" spans="1:7" ht="12">
      <c r="A40" s="22">
        <f t="shared" si="1"/>
        <v>40824</v>
      </c>
      <c r="B40" s="15">
        <v>16822600.87</v>
      </c>
      <c r="C40" s="15">
        <v>159850.87</v>
      </c>
      <c r="D40" s="15">
        <f t="shared" si="0"/>
        <v>15467542.000000002</v>
      </c>
      <c r="E40" s="15">
        <v>1195208</v>
      </c>
      <c r="F40" s="16">
        <v>1110</v>
      </c>
      <c r="G40" s="15">
        <v>154</v>
      </c>
    </row>
    <row r="41" spans="1:7" ht="12">
      <c r="A41" s="22">
        <f t="shared" si="1"/>
        <v>40831</v>
      </c>
      <c r="B41" s="15">
        <v>17859010.03</v>
      </c>
      <c r="C41" s="15">
        <v>165848.03</v>
      </c>
      <c r="D41" s="15">
        <f t="shared" si="0"/>
        <v>16558912</v>
      </c>
      <c r="E41" s="15">
        <v>1134250</v>
      </c>
      <c r="F41" s="16">
        <v>1110</v>
      </c>
      <c r="G41" s="15">
        <v>146</v>
      </c>
    </row>
    <row r="42" spans="1:7" ht="12">
      <c r="A42" s="22">
        <f t="shared" si="1"/>
        <v>40838</v>
      </c>
      <c r="B42" s="15">
        <v>16459463.89</v>
      </c>
      <c r="C42" s="15">
        <v>157737.89</v>
      </c>
      <c r="D42" s="15">
        <f t="shared" si="0"/>
        <v>15182791</v>
      </c>
      <c r="E42" s="15">
        <v>1118935</v>
      </c>
      <c r="F42" s="16">
        <v>1110</v>
      </c>
      <c r="G42" s="15">
        <v>144</v>
      </c>
    </row>
    <row r="43" spans="1:7" ht="12">
      <c r="A43" s="22">
        <f t="shared" si="1"/>
        <v>40845</v>
      </c>
      <c r="B43" s="15">
        <v>13274153.8</v>
      </c>
      <c r="C43" s="15">
        <f>139392.8-46835</f>
        <v>92557.79999999999</v>
      </c>
      <c r="D43" s="15">
        <f t="shared" si="0"/>
        <v>12264456</v>
      </c>
      <c r="E43" s="15">
        <v>917140</v>
      </c>
      <c r="F43" s="16">
        <v>1110</v>
      </c>
      <c r="G43" s="15">
        <v>118</v>
      </c>
    </row>
    <row r="44" spans="1:7" ht="12">
      <c r="A44" s="22">
        <f t="shared" si="1"/>
        <v>40852</v>
      </c>
      <c r="B44" s="15">
        <v>16885393.6</v>
      </c>
      <c r="C44" s="15">
        <v>157561.6</v>
      </c>
      <c r="D44" s="15">
        <f t="shared" si="0"/>
        <v>15567314.000000002</v>
      </c>
      <c r="E44" s="15">
        <v>1160518</v>
      </c>
      <c r="F44" s="16">
        <v>1110</v>
      </c>
      <c r="G44" s="15">
        <v>149</v>
      </c>
    </row>
    <row r="45" spans="1:7" ht="12">
      <c r="A45" s="22">
        <f t="shared" si="1"/>
        <v>40859</v>
      </c>
      <c r="B45" s="15">
        <v>18588864.21</v>
      </c>
      <c r="C45" s="15">
        <v>169502.21</v>
      </c>
      <c r="D45" s="15">
        <f t="shared" si="0"/>
        <v>17120916</v>
      </c>
      <c r="E45" s="15">
        <v>1298446</v>
      </c>
      <c r="F45" s="16">
        <v>1110</v>
      </c>
      <c r="G45" s="15">
        <v>167</v>
      </c>
    </row>
    <row r="46" spans="1:7" ht="12">
      <c r="A46" s="22">
        <f aca="true" t="shared" si="2" ref="A46:A64">+A45+7</f>
        <v>40866</v>
      </c>
      <c r="B46" s="15">
        <v>15174956.98</v>
      </c>
      <c r="C46" s="15">
        <v>146328.98</v>
      </c>
      <c r="D46" s="15">
        <f t="shared" si="0"/>
        <v>13995128</v>
      </c>
      <c r="E46" s="15">
        <v>1033500</v>
      </c>
      <c r="F46" s="16">
        <v>1110</v>
      </c>
      <c r="G46" s="15">
        <v>133</v>
      </c>
    </row>
    <row r="47" spans="1:7" ht="12">
      <c r="A47" s="22">
        <f t="shared" si="2"/>
        <v>40873</v>
      </c>
      <c r="B47" s="15">
        <v>16382019.15</v>
      </c>
      <c r="C47" s="15">
        <v>150249.15</v>
      </c>
      <c r="D47" s="15">
        <f t="shared" si="0"/>
        <v>15144469</v>
      </c>
      <c r="E47" s="15">
        <v>1087301</v>
      </c>
      <c r="F47" s="16">
        <v>1110</v>
      </c>
      <c r="G47" s="15">
        <v>140</v>
      </c>
    </row>
    <row r="48" spans="1:7" ht="12">
      <c r="A48" s="22">
        <f t="shared" si="2"/>
        <v>40880</v>
      </c>
      <c r="B48" s="15">
        <v>14698299.43</v>
      </c>
      <c r="C48" s="15">
        <v>103401.43</v>
      </c>
      <c r="D48" s="15">
        <f t="shared" si="0"/>
        <v>13543588</v>
      </c>
      <c r="E48" s="15">
        <v>1051310</v>
      </c>
      <c r="F48" s="16">
        <v>1110</v>
      </c>
      <c r="G48" s="15">
        <v>135</v>
      </c>
    </row>
    <row r="49" spans="1:7" ht="12">
      <c r="A49" s="22">
        <f t="shared" si="2"/>
        <v>40887</v>
      </c>
      <c r="B49" s="15">
        <v>15583552.28</v>
      </c>
      <c r="C49" s="15">
        <v>151245.28</v>
      </c>
      <c r="D49" s="15">
        <f t="shared" si="0"/>
        <v>14472705</v>
      </c>
      <c r="E49" s="15">
        <v>959602</v>
      </c>
      <c r="F49" s="16">
        <v>1110</v>
      </c>
      <c r="G49" s="15">
        <v>124</v>
      </c>
    </row>
    <row r="50" spans="1:7" ht="12">
      <c r="A50" s="22">
        <f t="shared" si="2"/>
        <v>40894</v>
      </c>
      <c r="B50" s="15">
        <v>13656692.65</v>
      </c>
      <c r="C50" s="15">
        <v>142937.65</v>
      </c>
      <c r="D50" s="15">
        <f t="shared" si="0"/>
        <v>12556504</v>
      </c>
      <c r="E50" s="15">
        <v>957251</v>
      </c>
      <c r="F50" s="16">
        <v>1110</v>
      </c>
      <c r="G50" s="15">
        <v>123</v>
      </c>
    </row>
    <row r="51" spans="1:7" ht="12">
      <c r="A51" s="22">
        <f t="shared" si="2"/>
        <v>40901</v>
      </c>
      <c r="B51" s="15">
        <v>11522782.75</v>
      </c>
      <c r="C51" s="15">
        <v>129709.75</v>
      </c>
      <c r="D51" s="15">
        <f t="shared" si="0"/>
        <v>10601850</v>
      </c>
      <c r="E51" s="15">
        <v>791223</v>
      </c>
      <c r="F51" s="16">
        <v>1110</v>
      </c>
      <c r="G51" s="15">
        <v>102</v>
      </c>
    </row>
    <row r="52" spans="1:7" ht="12">
      <c r="A52" s="22">
        <f t="shared" si="2"/>
        <v>40908</v>
      </c>
      <c r="B52" s="15">
        <v>18192906.81</v>
      </c>
      <c r="C52" s="15">
        <v>111395.81</v>
      </c>
      <c r="D52" s="15">
        <f t="shared" si="0"/>
        <v>16750481</v>
      </c>
      <c r="E52" s="15">
        <v>1331030</v>
      </c>
      <c r="F52" s="16">
        <v>1110</v>
      </c>
      <c r="G52" s="15">
        <v>171</v>
      </c>
    </row>
    <row r="53" spans="1:7" ht="12">
      <c r="A53" s="22">
        <f t="shared" si="2"/>
        <v>40915</v>
      </c>
      <c r="B53" s="15">
        <v>16147306.5</v>
      </c>
      <c r="C53" s="15">
        <v>96776.5</v>
      </c>
      <c r="D53" s="15">
        <f t="shared" si="0"/>
        <v>14845939</v>
      </c>
      <c r="E53" s="15">
        <v>1204591</v>
      </c>
      <c r="F53" s="16">
        <v>1110</v>
      </c>
      <c r="G53" s="15">
        <v>155</v>
      </c>
    </row>
    <row r="54" spans="1:7" ht="12">
      <c r="A54" s="22">
        <f t="shared" si="2"/>
        <v>40922</v>
      </c>
      <c r="B54" s="15">
        <v>12771888.89</v>
      </c>
      <c r="C54" s="15">
        <v>79016.89</v>
      </c>
      <c r="D54" s="15">
        <f t="shared" si="0"/>
        <v>11730349</v>
      </c>
      <c r="E54" s="15">
        <v>962523</v>
      </c>
      <c r="F54" s="16">
        <v>1110</v>
      </c>
      <c r="G54" s="15">
        <v>124</v>
      </c>
    </row>
    <row r="55" spans="1:7" ht="12">
      <c r="A55" s="22">
        <f t="shared" si="2"/>
        <v>40929</v>
      </c>
      <c r="B55" s="15">
        <v>11047368.55</v>
      </c>
      <c r="C55" s="15">
        <v>72270.55</v>
      </c>
      <c r="D55" s="15">
        <f t="shared" si="0"/>
        <v>10239521</v>
      </c>
      <c r="E55" s="15">
        <v>735577</v>
      </c>
      <c r="F55" s="16">
        <v>1110</v>
      </c>
      <c r="G55" s="15">
        <v>95</v>
      </c>
    </row>
    <row r="56" spans="1:7" ht="12">
      <c r="A56" s="22">
        <f t="shared" si="2"/>
        <v>40936</v>
      </c>
      <c r="B56" s="15">
        <v>14206437.27</v>
      </c>
      <c r="C56" s="15">
        <v>53245.27</v>
      </c>
      <c r="D56" s="15">
        <f t="shared" si="0"/>
        <v>13068476</v>
      </c>
      <c r="E56" s="15">
        <v>1084716</v>
      </c>
      <c r="F56" s="16">
        <v>1110</v>
      </c>
      <c r="G56" s="15">
        <v>140</v>
      </c>
    </row>
    <row r="57" spans="1:7" ht="12">
      <c r="A57" s="22">
        <f t="shared" si="2"/>
        <v>40943</v>
      </c>
      <c r="B57" s="15">
        <v>16938141.73</v>
      </c>
      <c r="C57" s="15">
        <v>113888.73</v>
      </c>
      <c r="D57" s="15">
        <f t="shared" si="0"/>
        <v>15676500</v>
      </c>
      <c r="E57" s="15">
        <v>1147753</v>
      </c>
      <c r="F57" s="16">
        <v>1110</v>
      </c>
      <c r="G57" s="15">
        <v>148</v>
      </c>
    </row>
    <row r="58" spans="1:7" ht="12">
      <c r="A58" s="22">
        <f t="shared" si="2"/>
        <v>40950</v>
      </c>
      <c r="B58" s="15">
        <v>15526832.45</v>
      </c>
      <c r="C58" s="15">
        <v>102617.45</v>
      </c>
      <c r="D58" s="15">
        <f t="shared" si="0"/>
        <v>14284584</v>
      </c>
      <c r="E58" s="15">
        <v>1139631</v>
      </c>
      <c r="F58" s="16">
        <v>1110</v>
      </c>
      <c r="G58" s="15">
        <v>147</v>
      </c>
    </row>
    <row r="59" spans="1:7" ht="12">
      <c r="A59" s="22">
        <f t="shared" si="2"/>
        <v>40957</v>
      </c>
      <c r="B59" s="15">
        <v>16974599.6</v>
      </c>
      <c r="C59" s="15">
        <v>107876.6</v>
      </c>
      <c r="D59" s="15">
        <f t="shared" si="0"/>
        <v>15621157</v>
      </c>
      <c r="E59" s="15">
        <v>1245566</v>
      </c>
      <c r="F59" s="16">
        <v>1110</v>
      </c>
      <c r="G59" s="15">
        <v>160</v>
      </c>
    </row>
    <row r="60" spans="1:7" ht="12">
      <c r="A60" s="22">
        <f t="shared" si="2"/>
        <v>40964</v>
      </c>
      <c r="B60" s="15">
        <v>16961671.17</v>
      </c>
      <c r="C60" s="15">
        <v>108931.17</v>
      </c>
      <c r="D60" s="15">
        <f t="shared" si="0"/>
        <v>15649201</v>
      </c>
      <c r="E60" s="15">
        <v>1203539</v>
      </c>
      <c r="F60" s="16">
        <v>1110</v>
      </c>
      <c r="G60" s="15">
        <v>155</v>
      </c>
    </row>
    <row r="61" spans="1:7" ht="12">
      <c r="A61" s="22">
        <f t="shared" si="2"/>
        <v>40971</v>
      </c>
      <c r="B61" s="15">
        <v>17405415.64</v>
      </c>
      <c r="C61" s="15">
        <v>161040.64</v>
      </c>
      <c r="D61" s="15">
        <f t="shared" si="0"/>
        <v>16035192</v>
      </c>
      <c r="E61" s="15">
        <v>1209183</v>
      </c>
      <c r="F61" s="16">
        <v>1110</v>
      </c>
      <c r="G61" s="15">
        <v>156</v>
      </c>
    </row>
    <row r="62" spans="1:7" ht="12">
      <c r="A62" s="22">
        <f t="shared" si="2"/>
        <v>40978</v>
      </c>
      <c r="B62" s="15">
        <v>17609338.44</v>
      </c>
      <c r="C62" s="15">
        <v>119343.44</v>
      </c>
      <c r="D62" s="15">
        <f t="shared" si="0"/>
        <v>16228901</v>
      </c>
      <c r="E62" s="15">
        <v>1261094</v>
      </c>
      <c r="F62" s="16">
        <v>1110</v>
      </c>
      <c r="G62" s="15">
        <v>162</v>
      </c>
    </row>
    <row r="63" spans="1:7" ht="12">
      <c r="A63" s="22">
        <f t="shared" si="2"/>
        <v>40985</v>
      </c>
      <c r="B63" s="15">
        <v>17224700.75</v>
      </c>
      <c r="C63" s="15">
        <v>79232.75</v>
      </c>
      <c r="D63" s="15">
        <f t="shared" si="0"/>
        <v>15911690</v>
      </c>
      <c r="E63" s="15">
        <v>1233778</v>
      </c>
      <c r="F63" s="16">
        <v>1110</v>
      </c>
      <c r="G63" s="15">
        <v>159</v>
      </c>
    </row>
    <row r="64" spans="1:7" ht="12">
      <c r="A64" s="22">
        <f t="shared" si="2"/>
        <v>40992</v>
      </c>
      <c r="B64" s="15">
        <v>16360271.82</v>
      </c>
      <c r="C64" s="15">
        <v>116180.82</v>
      </c>
      <c r="D64" s="15">
        <f t="shared" si="0"/>
        <v>15016362</v>
      </c>
      <c r="E64" s="15">
        <v>1227729</v>
      </c>
      <c r="F64" s="16">
        <v>1110</v>
      </c>
      <c r="G64" s="15">
        <v>158</v>
      </c>
    </row>
    <row r="65" ht="12">
      <c r="A65" s="22"/>
    </row>
    <row r="66" spans="1:7" ht="12.75" thickBot="1">
      <c r="A66" s="3" t="s">
        <v>8</v>
      </c>
      <c r="B66" s="17">
        <f>SUM(B13:B64)</f>
        <v>881596639.94</v>
      </c>
      <c r="C66" s="17">
        <f>SUM(C13:C64)</f>
        <v>6771569.94</v>
      </c>
      <c r="D66" s="17">
        <f>SUM(D13:D64)</f>
        <v>812702914</v>
      </c>
      <c r="E66" s="17">
        <f>SUM(E13:E64)</f>
        <v>62122156</v>
      </c>
      <c r="F66" s="24">
        <f>SUM(F13:F65)/COUNT(F13:F65)</f>
        <v>1110</v>
      </c>
      <c r="G66" s="17">
        <f>+E66/SUM(F13:F65)/7</f>
        <v>153.75248985248984</v>
      </c>
    </row>
    <row r="67" spans="1:5" s="21" customFormat="1" ht="12.75" thickTop="1">
      <c r="A67" s="19"/>
      <c r="B67" s="20"/>
      <c r="C67" s="20"/>
      <c r="D67" s="20"/>
      <c r="E67" s="20"/>
    </row>
  </sheetData>
  <sheetProtection/>
  <mergeCells count="6">
    <mergeCell ref="A5:G5"/>
    <mergeCell ref="A8:G8"/>
    <mergeCell ref="A1:G1"/>
    <mergeCell ref="A2:G2"/>
    <mergeCell ref="A3:G3"/>
    <mergeCell ref="A4:G4"/>
  </mergeCells>
  <hyperlinks>
    <hyperlink ref="A4" r:id="rId1" display="www.monticellogamingand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5.140625" style="3" customWidth="1"/>
    <col min="2" max="5" width="15.140625" style="15" customWidth="1"/>
    <col min="6" max="6" width="15.140625" style="16" customWidth="1"/>
    <col min="7" max="7" width="15.140625" style="15" customWidth="1"/>
  </cols>
  <sheetData>
    <row r="1" spans="1:11" ht="18">
      <c r="A1" s="35" t="s">
        <v>16</v>
      </c>
      <c r="B1" s="35"/>
      <c r="C1" s="35"/>
      <c r="D1" s="35"/>
      <c r="E1" s="35"/>
      <c r="F1" s="35"/>
      <c r="G1" s="35"/>
      <c r="H1" s="26"/>
      <c r="I1" s="26"/>
      <c r="J1" s="26"/>
      <c r="K1" s="26"/>
    </row>
    <row r="2" spans="1:11" ht="15">
      <c r="A2" s="36" t="s">
        <v>17</v>
      </c>
      <c r="B2" s="36"/>
      <c r="C2" s="36"/>
      <c r="D2" s="36"/>
      <c r="E2" s="36"/>
      <c r="F2" s="36"/>
      <c r="G2" s="36"/>
      <c r="H2" s="27"/>
      <c r="I2" s="27"/>
      <c r="J2" s="27"/>
      <c r="K2" s="27"/>
    </row>
    <row r="3" spans="1:11" s="1" customFormat="1" ht="15">
      <c r="A3" s="36" t="s">
        <v>18</v>
      </c>
      <c r="B3" s="36"/>
      <c r="C3" s="36"/>
      <c r="D3" s="36"/>
      <c r="E3" s="36"/>
      <c r="F3" s="36"/>
      <c r="G3" s="36"/>
      <c r="H3" s="27"/>
      <c r="I3" s="27"/>
      <c r="J3" s="27"/>
      <c r="K3" s="27"/>
    </row>
    <row r="4" spans="1:11" s="1" customFormat="1" ht="13.5">
      <c r="A4" s="42" t="s">
        <v>19</v>
      </c>
      <c r="B4" s="42"/>
      <c r="C4" s="42"/>
      <c r="D4" s="42"/>
      <c r="E4" s="42"/>
      <c r="F4" s="42"/>
      <c r="G4" s="42"/>
      <c r="H4" s="28"/>
      <c r="I4" s="28"/>
      <c r="J4" s="28"/>
      <c r="K4" s="28"/>
    </row>
    <row r="5" spans="1:11" s="1" customFormat="1" ht="13.5">
      <c r="A5" s="38" t="s">
        <v>20</v>
      </c>
      <c r="B5" s="38"/>
      <c r="C5" s="38"/>
      <c r="D5" s="38"/>
      <c r="E5" s="38"/>
      <c r="F5" s="38"/>
      <c r="G5" s="38"/>
      <c r="H5" s="29"/>
      <c r="I5" s="29"/>
      <c r="J5" s="29"/>
      <c r="K5" s="29"/>
    </row>
    <row r="6" spans="1:11" s="1" customFormat="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1" customFormat="1" ht="12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23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1.25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1.25">
      <c r="A11" s="13" t="s">
        <v>11</v>
      </c>
      <c r="B11" s="8" t="s">
        <v>3</v>
      </c>
      <c r="C11" s="8" t="s">
        <v>26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">
      <c r="A13" s="22">
        <v>40271</v>
      </c>
      <c r="B13" s="15">
        <v>14638186.28</v>
      </c>
      <c r="C13" s="15">
        <v>147227.28</v>
      </c>
      <c r="D13" s="15">
        <f aca="true" t="shared" si="0" ref="D13:D64">+B13-C13-E13</f>
        <v>13378063</v>
      </c>
      <c r="E13" s="15">
        <v>1112896</v>
      </c>
      <c r="F13" s="16">
        <v>1090</v>
      </c>
      <c r="G13" s="15">
        <v>146</v>
      </c>
    </row>
    <row r="14" spans="1:7" ht="12">
      <c r="A14" s="22">
        <f>+A13+7</f>
        <v>40278</v>
      </c>
      <c r="B14" s="15">
        <v>14365247.9</v>
      </c>
      <c r="C14" s="15">
        <v>92655.9</v>
      </c>
      <c r="D14" s="15">
        <f t="shared" si="0"/>
        <v>13123834</v>
      </c>
      <c r="E14" s="15">
        <v>1148758</v>
      </c>
      <c r="F14" s="16">
        <v>1090</v>
      </c>
      <c r="G14" s="15">
        <v>151</v>
      </c>
    </row>
    <row r="15" spans="1:7" ht="12">
      <c r="A15" s="22">
        <f aca="true" t="shared" si="1" ref="A15:A64">+A14+7</f>
        <v>40285</v>
      </c>
      <c r="B15" s="15">
        <v>15416017.49</v>
      </c>
      <c r="C15" s="15">
        <v>113690.49</v>
      </c>
      <c r="D15" s="15">
        <f t="shared" si="0"/>
        <v>14109114</v>
      </c>
      <c r="E15" s="15">
        <v>1193213</v>
      </c>
      <c r="F15" s="16">
        <v>1090</v>
      </c>
      <c r="G15" s="15">
        <v>156</v>
      </c>
    </row>
    <row r="16" spans="1:7" ht="12">
      <c r="A16" s="22">
        <f t="shared" si="1"/>
        <v>40292</v>
      </c>
      <c r="B16" s="15">
        <v>15250045.66</v>
      </c>
      <c r="C16" s="15">
        <v>113103.66</v>
      </c>
      <c r="D16" s="15">
        <f t="shared" si="0"/>
        <v>13951525</v>
      </c>
      <c r="E16" s="15">
        <v>1185417</v>
      </c>
      <c r="F16" s="16">
        <v>1090</v>
      </c>
      <c r="G16" s="15">
        <v>155</v>
      </c>
    </row>
    <row r="17" spans="1:7" ht="12">
      <c r="A17" s="22">
        <f t="shared" si="1"/>
        <v>40299</v>
      </c>
      <c r="B17" s="15">
        <v>15393535.41</v>
      </c>
      <c r="C17" s="15">
        <v>123225.41</v>
      </c>
      <c r="D17" s="15">
        <f t="shared" si="0"/>
        <v>14173207</v>
      </c>
      <c r="E17" s="15">
        <v>1097103</v>
      </c>
      <c r="F17" s="16">
        <v>1090</v>
      </c>
      <c r="G17" s="15">
        <v>144</v>
      </c>
    </row>
    <row r="18" spans="1:7" ht="12">
      <c r="A18" s="22">
        <f t="shared" si="1"/>
        <v>40306</v>
      </c>
      <c r="B18" s="15">
        <v>15825974.75</v>
      </c>
      <c r="C18" s="15">
        <v>135199.75</v>
      </c>
      <c r="D18" s="15">
        <f t="shared" si="0"/>
        <v>14518084</v>
      </c>
      <c r="E18" s="15">
        <v>1172691</v>
      </c>
      <c r="F18" s="16">
        <v>1090</v>
      </c>
      <c r="G18" s="15">
        <v>154</v>
      </c>
    </row>
    <row r="19" spans="1:7" ht="12">
      <c r="A19" s="22">
        <f t="shared" si="1"/>
        <v>40313</v>
      </c>
      <c r="B19" s="15">
        <v>15285881.67</v>
      </c>
      <c r="C19" s="15">
        <v>103800.67</v>
      </c>
      <c r="D19" s="15">
        <f t="shared" si="0"/>
        <v>13983231</v>
      </c>
      <c r="E19" s="15">
        <v>1198850</v>
      </c>
      <c r="F19" s="16">
        <v>1090</v>
      </c>
      <c r="G19" s="15">
        <v>157</v>
      </c>
    </row>
    <row r="20" spans="1:7" ht="12">
      <c r="A20" s="22">
        <f t="shared" si="1"/>
        <v>40320</v>
      </c>
      <c r="B20" s="15">
        <v>15200290.06</v>
      </c>
      <c r="C20" s="15">
        <v>113217.06</v>
      </c>
      <c r="D20" s="15">
        <f t="shared" si="0"/>
        <v>13952089</v>
      </c>
      <c r="E20" s="15">
        <v>1134984</v>
      </c>
      <c r="F20" s="16">
        <v>1090</v>
      </c>
      <c r="G20" s="15">
        <v>149</v>
      </c>
    </row>
    <row r="21" spans="1:7" ht="12">
      <c r="A21" s="22">
        <f t="shared" si="1"/>
        <v>40327</v>
      </c>
      <c r="B21" s="15">
        <v>16812115.14</v>
      </c>
      <c r="C21" s="15">
        <v>159626.14</v>
      </c>
      <c r="D21" s="15">
        <f t="shared" si="0"/>
        <v>15375197</v>
      </c>
      <c r="E21" s="15">
        <v>1277292</v>
      </c>
      <c r="F21" s="16">
        <v>1090</v>
      </c>
      <c r="G21" s="15">
        <v>167</v>
      </c>
    </row>
    <row r="22" spans="1:7" ht="12">
      <c r="A22" s="22">
        <f t="shared" si="1"/>
        <v>40334</v>
      </c>
      <c r="B22" s="15">
        <v>16925437.81</v>
      </c>
      <c r="C22" s="15">
        <v>112921.81</v>
      </c>
      <c r="D22" s="15">
        <f t="shared" si="0"/>
        <v>15581860</v>
      </c>
      <c r="E22" s="15">
        <v>1230656</v>
      </c>
      <c r="F22" s="16">
        <v>1090</v>
      </c>
      <c r="G22" s="15">
        <v>161</v>
      </c>
    </row>
    <row r="23" spans="1:7" ht="12">
      <c r="A23" s="22">
        <f t="shared" si="1"/>
        <v>40341</v>
      </c>
      <c r="B23" s="15">
        <v>14691633.1</v>
      </c>
      <c r="C23" s="15">
        <v>110690.1</v>
      </c>
      <c r="D23" s="15">
        <f t="shared" si="0"/>
        <v>13535302</v>
      </c>
      <c r="E23" s="15">
        <v>1045641</v>
      </c>
      <c r="F23" s="16">
        <v>1090</v>
      </c>
      <c r="G23" s="15">
        <v>137</v>
      </c>
    </row>
    <row r="24" spans="1:7" ht="12">
      <c r="A24" s="22">
        <f t="shared" si="1"/>
        <v>40348</v>
      </c>
      <c r="B24" s="15">
        <v>14485908.31</v>
      </c>
      <c r="C24" s="15">
        <v>111520.31</v>
      </c>
      <c r="D24" s="15">
        <f t="shared" si="0"/>
        <v>13267455</v>
      </c>
      <c r="E24" s="15">
        <v>1106933</v>
      </c>
      <c r="F24" s="16">
        <v>1090</v>
      </c>
      <c r="G24" s="15">
        <v>145</v>
      </c>
    </row>
    <row r="25" spans="1:7" ht="12">
      <c r="A25" s="22">
        <f t="shared" si="1"/>
        <v>40355</v>
      </c>
      <c r="B25" s="15">
        <v>15010194.93</v>
      </c>
      <c r="C25" s="15">
        <v>138150.93</v>
      </c>
      <c r="D25" s="15">
        <f t="shared" si="0"/>
        <v>13760574</v>
      </c>
      <c r="E25" s="15">
        <v>1111470</v>
      </c>
      <c r="F25" s="16">
        <v>1090</v>
      </c>
      <c r="G25" s="15">
        <v>146</v>
      </c>
    </row>
    <row r="26" spans="1:7" ht="12">
      <c r="A26" s="22">
        <f t="shared" si="1"/>
        <v>40362</v>
      </c>
      <c r="B26" s="15">
        <v>15917474.73</v>
      </c>
      <c r="C26" s="15">
        <v>105974.73</v>
      </c>
      <c r="D26" s="15">
        <f t="shared" si="0"/>
        <v>14489095</v>
      </c>
      <c r="E26" s="15">
        <v>1322405</v>
      </c>
      <c r="F26" s="16">
        <v>1090</v>
      </c>
      <c r="G26" s="15">
        <v>173</v>
      </c>
    </row>
    <row r="27" spans="1:7" ht="12">
      <c r="A27" s="22">
        <f t="shared" si="1"/>
        <v>40369</v>
      </c>
      <c r="B27" s="15">
        <v>19887791.72</v>
      </c>
      <c r="C27" s="15">
        <v>112291.72</v>
      </c>
      <c r="D27" s="15">
        <f t="shared" si="0"/>
        <v>18346608</v>
      </c>
      <c r="E27" s="15">
        <v>1428892</v>
      </c>
      <c r="F27" s="16">
        <v>1090</v>
      </c>
      <c r="G27" s="15">
        <v>187</v>
      </c>
    </row>
    <row r="28" spans="1:7" ht="12">
      <c r="A28" s="22">
        <f t="shared" si="1"/>
        <v>40376</v>
      </c>
      <c r="B28" s="15">
        <v>16702900.89</v>
      </c>
      <c r="C28" s="15">
        <v>109738.89</v>
      </c>
      <c r="D28" s="15">
        <f t="shared" si="0"/>
        <v>15335767</v>
      </c>
      <c r="E28" s="15">
        <v>1257395</v>
      </c>
      <c r="F28" s="16">
        <v>1090</v>
      </c>
      <c r="G28" s="15">
        <v>165</v>
      </c>
    </row>
    <row r="29" spans="1:7" ht="12">
      <c r="A29" s="22">
        <f t="shared" si="1"/>
        <v>40383</v>
      </c>
      <c r="B29" s="15">
        <v>16400045.23</v>
      </c>
      <c r="C29" s="15">
        <v>106732.23</v>
      </c>
      <c r="D29" s="15">
        <f t="shared" si="0"/>
        <v>15099754</v>
      </c>
      <c r="E29" s="15">
        <v>1193559</v>
      </c>
      <c r="F29" s="16">
        <v>1090</v>
      </c>
      <c r="G29" s="15">
        <v>156</v>
      </c>
    </row>
    <row r="30" spans="1:7" ht="12">
      <c r="A30" s="22">
        <f t="shared" si="1"/>
        <v>40390</v>
      </c>
      <c r="B30" s="15">
        <v>17790153.22</v>
      </c>
      <c r="C30" s="15">
        <v>139133.22</v>
      </c>
      <c r="D30" s="15">
        <f t="shared" si="0"/>
        <v>16344297</v>
      </c>
      <c r="E30" s="15">
        <v>1306723</v>
      </c>
      <c r="F30" s="16">
        <v>1090</v>
      </c>
      <c r="G30" s="15">
        <v>171</v>
      </c>
    </row>
    <row r="31" spans="1:7" ht="12">
      <c r="A31" s="22">
        <f t="shared" si="1"/>
        <v>40397</v>
      </c>
      <c r="B31" s="15">
        <v>17978845.31</v>
      </c>
      <c r="C31" s="15">
        <v>134879.31</v>
      </c>
      <c r="D31" s="15">
        <f t="shared" si="0"/>
        <v>16477644</v>
      </c>
      <c r="E31" s="15">
        <v>1366322</v>
      </c>
      <c r="F31" s="16">
        <v>1090</v>
      </c>
      <c r="G31" s="15">
        <v>179</v>
      </c>
    </row>
    <row r="32" spans="1:7" ht="12">
      <c r="A32" s="22">
        <f t="shared" si="1"/>
        <v>40404</v>
      </c>
      <c r="B32" s="15">
        <v>17144095.8</v>
      </c>
      <c r="C32" s="15">
        <v>141946.8</v>
      </c>
      <c r="D32" s="15">
        <f t="shared" si="0"/>
        <v>15798784</v>
      </c>
      <c r="E32" s="15">
        <v>1203365</v>
      </c>
      <c r="F32" s="16">
        <v>1090</v>
      </c>
      <c r="G32" s="15">
        <v>158</v>
      </c>
    </row>
    <row r="33" spans="1:7" ht="12">
      <c r="A33" s="22">
        <f t="shared" si="1"/>
        <v>40411</v>
      </c>
      <c r="B33" s="15">
        <v>16964980.42</v>
      </c>
      <c r="C33" s="15">
        <v>109598.42</v>
      </c>
      <c r="D33" s="15">
        <f t="shared" si="0"/>
        <v>15636359</v>
      </c>
      <c r="E33" s="15">
        <v>1219023</v>
      </c>
      <c r="F33" s="16">
        <v>1090</v>
      </c>
      <c r="G33" s="15">
        <v>160</v>
      </c>
    </row>
    <row r="34" spans="1:7" ht="12">
      <c r="A34" s="22">
        <f t="shared" si="1"/>
        <v>40418</v>
      </c>
      <c r="B34" s="15">
        <v>17750291.13</v>
      </c>
      <c r="C34" s="15">
        <v>143583.13</v>
      </c>
      <c r="D34" s="15">
        <f t="shared" si="0"/>
        <v>16169809</v>
      </c>
      <c r="E34" s="15">
        <v>1436899</v>
      </c>
      <c r="F34" s="16">
        <v>1090</v>
      </c>
      <c r="G34" s="15">
        <v>188</v>
      </c>
    </row>
    <row r="35" spans="1:7" ht="12">
      <c r="A35" s="22">
        <f t="shared" si="1"/>
        <v>40425</v>
      </c>
      <c r="B35" s="15">
        <v>18133312.17</v>
      </c>
      <c r="C35" s="15">
        <v>144932.17</v>
      </c>
      <c r="D35" s="15">
        <f t="shared" si="0"/>
        <v>16677530</v>
      </c>
      <c r="E35" s="15">
        <v>1310850</v>
      </c>
      <c r="F35" s="16">
        <v>1090</v>
      </c>
      <c r="G35" s="15">
        <v>172</v>
      </c>
    </row>
    <row r="36" spans="1:7" ht="12">
      <c r="A36" s="22">
        <f t="shared" si="1"/>
        <v>40432</v>
      </c>
      <c r="B36" s="15">
        <v>18915593.53</v>
      </c>
      <c r="C36" s="15">
        <v>139339.53</v>
      </c>
      <c r="D36" s="15">
        <f t="shared" si="0"/>
        <v>17485124</v>
      </c>
      <c r="E36" s="15">
        <v>1291130</v>
      </c>
      <c r="F36" s="16">
        <v>1090</v>
      </c>
      <c r="G36" s="15">
        <v>169</v>
      </c>
    </row>
    <row r="37" spans="1:7" ht="12">
      <c r="A37" s="22">
        <f t="shared" si="1"/>
        <v>40439</v>
      </c>
      <c r="B37" s="15">
        <v>15106655.9</v>
      </c>
      <c r="C37" s="15">
        <v>114254.9</v>
      </c>
      <c r="D37" s="15">
        <f t="shared" si="0"/>
        <v>13857085</v>
      </c>
      <c r="E37" s="15">
        <v>1135316</v>
      </c>
      <c r="F37" s="16">
        <v>1090</v>
      </c>
      <c r="G37" s="15">
        <v>149</v>
      </c>
    </row>
    <row r="38" spans="1:7" ht="12">
      <c r="A38" s="22">
        <f t="shared" si="1"/>
        <v>40446</v>
      </c>
      <c r="B38" s="15">
        <v>16400812.76</v>
      </c>
      <c r="C38" s="15">
        <v>164942.76</v>
      </c>
      <c r="D38" s="15">
        <f t="shared" si="0"/>
        <v>15094311</v>
      </c>
      <c r="E38" s="15">
        <v>1141559</v>
      </c>
      <c r="F38" s="16">
        <v>1090</v>
      </c>
      <c r="G38" s="15">
        <v>150</v>
      </c>
    </row>
    <row r="39" spans="1:7" ht="12">
      <c r="A39" s="22">
        <f t="shared" si="1"/>
        <v>40453</v>
      </c>
      <c r="B39" s="15">
        <v>15883299</v>
      </c>
      <c r="C39" s="15">
        <v>141247</v>
      </c>
      <c r="D39" s="15">
        <f t="shared" si="0"/>
        <v>14578753</v>
      </c>
      <c r="E39" s="15">
        <v>1163299</v>
      </c>
      <c r="F39" s="16">
        <v>1090</v>
      </c>
      <c r="G39" s="15">
        <v>152</v>
      </c>
    </row>
    <row r="40" spans="1:7" ht="12">
      <c r="A40" s="22">
        <f t="shared" si="1"/>
        <v>40460</v>
      </c>
      <c r="B40" s="15">
        <v>15567131.49</v>
      </c>
      <c r="C40" s="15">
        <v>116413.49</v>
      </c>
      <c r="D40" s="15">
        <f t="shared" si="0"/>
        <v>14335494</v>
      </c>
      <c r="E40" s="15">
        <v>1115224</v>
      </c>
      <c r="F40" s="16">
        <v>1090</v>
      </c>
      <c r="G40" s="15">
        <v>146</v>
      </c>
    </row>
    <row r="41" spans="1:7" ht="12">
      <c r="A41" s="22">
        <f t="shared" si="1"/>
        <v>40467</v>
      </c>
      <c r="B41" s="15">
        <v>17045845.09</v>
      </c>
      <c r="C41" s="15">
        <v>156043.09</v>
      </c>
      <c r="D41" s="15">
        <f t="shared" si="0"/>
        <v>15730915</v>
      </c>
      <c r="E41" s="15">
        <v>1158887</v>
      </c>
      <c r="F41" s="16">
        <v>1090</v>
      </c>
      <c r="G41" s="15">
        <v>152</v>
      </c>
    </row>
    <row r="42" spans="1:7" ht="12">
      <c r="A42" s="22">
        <f t="shared" si="1"/>
        <v>40474</v>
      </c>
      <c r="B42" s="15">
        <v>14522472.5</v>
      </c>
      <c r="C42" s="15">
        <v>132881.5</v>
      </c>
      <c r="D42" s="15">
        <f t="shared" si="0"/>
        <v>13376831</v>
      </c>
      <c r="E42" s="15">
        <v>1012760</v>
      </c>
      <c r="F42" s="16">
        <v>1090</v>
      </c>
      <c r="G42" s="15">
        <v>133</v>
      </c>
    </row>
    <row r="43" spans="1:7" ht="12">
      <c r="A43" s="22">
        <f t="shared" si="1"/>
        <v>40481</v>
      </c>
      <c r="B43" s="15">
        <v>15904134.79</v>
      </c>
      <c r="C43" s="15">
        <v>182362.79</v>
      </c>
      <c r="D43" s="15">
        <f t="shared" si="0"/>
        <v>14587392</v>
      </c>
      <c r="E43" s="15">
        <v>1134380</v>
      </c>
      <c r="F43" s="16">
        <v>1090</v>
      </c>
      <c r="G43" s="15">
        <v>149</v>
      </c>
    </row>
    <row r="44" spans="1:7" ht="12">
      <c r="A44" s="22">
        <f t="shared" si="1"/>
        <v>40488</v>
      </c>
      <c r="B44" s="15">
        <v>14722924.94</v>
      </c>
      <c r="C44" s="15">
        <v>211330.94</v>
      </c>
      <c r="D44" s="15">
        <f t="shared" si="0"/>
        <v>13493559</v>
      </c>
      <c r="E44" s="15">
        <v>1018035</v>
      </c>
      <c r="F44" s="16">
        <v>1090</v>
      </c>
      <c r="G44" s="15">
        <v>133</v>
      </c>
    </row>
    <row r="45" spans="1:7" ht="12">
      <c r="A45" s="22">
        <f t="shared" si="1"/>
        <v>40495</v>
      </c>
      <c r="B45" s="15">
        <v>15094031.88</v>
      </c>
      <c r="C45" s="15">
        <v>136190.88</v>
      </c>
      <c r="D45" s="15">
        <f t="shared" si="0"/>
        <v>13941013</v>
      </c>
      <c r="E45" s="15">
        <v>1016828</v>
      </c>
      <c r="F45" s="16">
        <v>1097</v>
      </c>
      <c r="G45" s="15">
        <v>132</v>
      </c>
    </row>
    <row r="46" spans="1:7" ht="12">
      <c r="A46" s="22">
        <f t="shared" si="1"/>
        <v>40502</v>
      </c>
      <c r="B46" s="15">
        <v>13268559.05</v>
      </c>
      <c r="C46" s="15">
        <v>121483.05</v>
      </c>
      <c r="D46" s="15">
        <f t="shared" si="0"/>
        <v>12209323</v>
      </c>
      <c r="E46" s="15">
        <v>937753</v>
      </c>
      <c r="F46" s="16">
        <v>1106</v>
      </c>
      <c r="G46" s="15">
        <v>121</v>
      </c>
    </row>
    <row r="47" spans="1:7" ht="12">
      <c r="A47" s="22">
        <f t="shared" si="1"/>
        <v>40509</v>
      </c>
      <c r="B47" s="15">
        <v>16430105.7</v>
      </c>
      <c r="C47" s="15">
        <v>139163.7</v>
      </c>
      <c r="D47" s="15">
        <f t="shared" si="0"/>
        <v>15147268</v>
      </c>
      <c r="E47" s="15">
        <v>1143674</v>
      </c>
      <c r="F47" s="16">
        <v>1110</v>
      </c>
      <c r="G47" s="15">
        <v>147</v>
      </c>
    </row>
    <row r="48" spans="1:7" ht="12">
      <c r="A48" s="22">
        <f t="shared" si="1"/>
        <v>40516</v>
      </c>
      <c r="B48" s="15">
        <v>13795462.3</v>
      </c>
      <c r="C48" s="15">
        <v>108953.3</v>
      </c>
      <c r="D48" s="15">
        <f t="shared" si="0"/>
        <v>12703097</v>
      </c>
      <c r="E48" s="15">
        <v>983412</v>
      </c>
      <c r="F48" s="16">
        <v>1110</v>
      </c>
      <c r="G48" s="15">
        <v>127</v>
      </c>
    </row>
    <row r="49" spans="1:7" ht="12">
      <c r="A49" s="22">
        <f t="shared" si="1"/>
        <v>40523</v>
      </c>
      <c r="B49" s="15">
        <v>11624109.17</v>
      </c>
      <c r="C49" s="15">
        <v>83194.17</v>
      </c>
      <c r="D49" s="15">
        <f t="shared" si="0"/>
        <v>10670638</v>
      </c>
      <c r="E49" s="15">
        <v>870277</v>
      </c>
      <c r="F49" s="16">
        <v>1110</v>
      </c>
      <c r="G49" s="15">
        <v>112</v>
      </c>
    </row>
    <row r="50" spans="1:7" ht="12">
      <c r="A50" s="22">
        <f t="shared" si="1"/>
        <v>40530</v>
      </c>
      <c r="B50" s="15">
        <v>11314927.89</v>
      </c>
      <c r="C50" s="15">
        <v>75256.89</v>
      </c>
      <c r="D50" s="15">
        <f t="shared" si="0"/>
        <v>10467960</v>
      </c>
      <c r="E50" s="15">
        <v>771711</v>
      </c>
      <c r="F50" s="16">
        <v>1110</v>
      </c>
      <c r="G50" s="15">
        <v>99</v>
      </c>
    </row>
    <row r="51" spans="1:7" ht="12">
      <c r="A51" s="22">
        <f t="shared" si="1"/>
        <v>40537</v>
      </c>
      <c r="B51" s="15">
        <v>9878186.3</v>
      </c>
      <c r="C51" s="15">
        <v>41911.3</v>
      </c>
      <c r="D51" s="15">
        <f t="shared" si="0"/>
        <v>9103590</v>
      </c>
      <c r="E51" s="15">
        <v>732685</v>
      </c>
      <c r="F51" s="16">
        <v>1110</v>
      </c>
      <c r="G51" s="15">
        <v>94</v>
      </c>
    </row>
    <row r="52" spans="1:7" ht="12">
      <c r="A52" s="22">
        <f t="shared" si="1"/>
        <v>40544</v>
      </c>
      <c r="B52" s="15">
        <v>14907381.1</v>
      </c>
      <c r="C52" s="15">
        <v>78104.1</v>
      </c>
      <c r="D52" s="15">
        <f t="shared" si="0"/>
        <v>13652039</v>
      </c>
      <c r="E52" s="15">
        <v>1177238</v>
      </c>
      <c r="F52" s="16">
        <v>1110</v>
      </c>
      <c r="G52" s="15">
        <v>152</v>
      </c>
    </row>
    <row r="53" spans="1:7" ht="12">
      <c r="A53" s="22">
        <f t="shared" si="1"/>
        <v>40551</v>
      </c>
      <c r="B53" s="15">
        <v>12228456.72</v>
      </c>
      <c r="C53" s="15">
        <v>72507.72</v>
      </c>
      <c r="D53" s="15">
        <f t="shared" si="0"/>
        <v>11322457</v>
      </c>
      <c r="E53" s="15">
        <v>833492</v>
      </c>
      <c r="F53" s="16">
        <v>1110</v>
      </c>
      <c r="G53" s="15">
        <v>107</v>
      </c>
    </row>
    <row r="54" spans="1:7" ht="12">
      <c r="A54" s="22">
        <f t="shared" si="1"/>
        <v>40558</v>
      </c>
      <c r="B54" s="15">
        <v>11697956.72</v>
      </c>
      <c r="C54" s="15">
        <v>79355.72</v>
      </c>
      <c r="D54" s="15">
        <f t="shared" si="0"/>
        <v>10799491</v>
      </c>
      <c r="E54" s="15">
        <v>819110</v>
      </c>
      <c r="F54" s="16">
        <v>1110</v>
      </c>
      <c r="G54" s="15">
        <v>105</v>
      </c>
    </row>
    <row r="55" spans="1:7" ht="12">
      <c r="A55" s="22">
        <f t="shared" si="1"/>
        <v>40565</v>
      </c>
      <c r="B55" s="15">
        <v>11696318.47</v>
      </c>
      <c r="C55" s="15">
        <v>71110.47</v>
      </c>
      <c r="D55" s="15">
        <f t="shared" si="0"/>
        <v>10769116</v>
      </c>
      <c r="E55" s="15">
        <v>856092</v>
      </c>
      <c r="F55" s="16">
        <v>1110</v>
      </c>
      <c r="G55" s="15">
        <v>110</v>
      </c>
    </row>
    <row r="56" spans="1:7" ht="12">
      <c r="A56" s="22">
        <f t="shared" si="1"/>
        <v>40572</v>
      </c>
      <c r="B56" s="15">
        <v>11266037.7</v>
      </c>
      <c r="C56" s="15">
        <v>75412.7</v>
      </c>
      <c r="D56" s="15">
        <f t="shared" si="0"/>
        <v>10327706</v>
      </c>
      <c r="E56" s="15">
        <v>862919</v>
      </c>
      <c r="F56" s="16">
        <v>1110</v>
      </c>
      <c r="G56" s="15">
        <v>111</v>
      </c>
    </row>
    <row r="57" spans="1:7" ht="12">
      <c r="A57" s="22">
        <f t="shared" si="1"/>
        <v>40579</v>
      </c>
      <c r="B57" s="15">
        <v>10396118.1</v>
      </c>
      <c r="C57" s="15">
        <v>67122.1</v>
      </c>
      <c r="D57" s="15">
        <f t="shared" si="0"/>
        <v>9546900</v>
      </c>
      <c r="E57" s="15">
        <v>782096</v>
      </c>
      <c r="F57" s="16">
        <v>1110</v>
      </c>
      <c r="G57" s="15">
        <v>101</v>
      </c>
    </row>
    <row r="58" spans="1:7" ht="12">
      <c r="A58" s="22">
        <f t="shared" si="1"/>
        <v>40586</v>
      </c>
      <c r="B58" s="15">
        <v>14418864.15</v>
      </c>
      <c r="C58" s="15">
        <v>83342.15</v>
      </c>
      <c r="D58" s="15">
        <f t="shared" si="0"/>
        <v>13260920</v>
      </c>
      <c r="E58" s="15">
        <v>1074602</v>
      </c>
      <c r="F58" s="16">
        <v>1110</v>
      </c>
      <c r="G58" s="15">
        <v>138</v>
      </c>
    </row>
    <row r="59" spans="1:7" ht="12">
      <c r="A59" s="22">
        <f t="shared" si="1"/>
        <v>40593</v>
      </c>
      <c r="B59" s="15">
        <v>15538846.85</v>
      </c>
      <c r="C59" s="15">
        <v>117898.85</v>
      </c>
      <c r="D59" s="15">
        <f t="shared" si="0"/>
        <v>14241938</v>
      </c>
      <c r="E59" s="15">
        <v>1179010</v>
      </c>
      <c r="F59" s="16">
        <v>1110</v>
      </c>
      <c r="G59" s="15">
        <v>152</v>
      </c>
    </row>
    <row r="60" spans="1:7" ht="12">
      <c r="A60" s="22">
        <f t="shared" si="1"/>
        <v>40600</v>
      </c>
      <c r="B60" s="15">
        <v>16075119.33</v>
      </c>
      <c r="C60" s="15">
        <v>116556.33</v>
      </c>
      <c r="D60" s="15">
        <f t="shared" si="0"/>
        <v>14803024</v>
      </c>
      <c r="E60" s="15">
        <v>1155539</v>
      </c>
      <c r="F60" s="16">
        <v>1110</v>
      </c>
      <c r="G60" s="15">
        <v>149</v>
      </c>
    </row>
    <row r="61" spans="1:7" ht="12">
      <c r="A61" s="22">
        <f t="shared" si="1"/>
        <v>40607</v>
      </c>
      <c r="B61" s="15">
        <v>17477924.97</v>
      </c>
      <c r="C61" s="15">
        <v>114207.97</v>
      </c>
      <c r="D61" s="15">
        <f t="shared" si="0"/>
        <v>16084750</v>
      </c>
      <c r="E61" s="15">
        <v>1278967</v>
      </c>
      <c r="F61" s="16">
        <v>1110</v>
      </c>
      <c r="G61" s="15">
        <v>165</v>
      </c>
    </row>
    <row r="62" spans="1:7" ht="12">
      <c r="A62" s="22">
        <f t="shared" si="1"/>
        <v>40614</v>
      </c>
      <c r="B62" s="15">
        <v>14776973.45</v>
      </c>
      <c r="C62" s="15">
        <v>105456.45</v>
      </c>
      <c r="D62" s="15">
        <f t="shared" si="0"/>
        <v>13633184</v>
      </c>
      <c r="E62" s="15">
        <v>1038333</v>
      </c>
      <c r="F62" s="16">
        <v>1110</v>
      </c>
      <c r="G62" s="15">
        <v>134</v>
      </c>
    </row>
    <row r="63" spans="1:7" ht="12">
      <c r="A63" s="22">
        <f t="shared" si="1"/>
        <v>40621</v>
      </c>
      <c r="B63" s="15">
        <v>15711236.9</v>
      </c>
      <c r="C63" s="15">
        <v>114509.9</v>
      </c>
      <c r="D63" s="15">
        <f t="shared" si="0"/>
        <v>14411779</v>
      </c>
      <c r="E63" s="15">
        <v>1184948</v>
      </c>
      <c r="F63" s="16">
        <v>1110</v>
      </c>
      <c r="G63" s="15">
        <v>153</v>
      </c>
    </row>
    <row r="64" spans="1:7" ht="12">
      <c r="A64" s="22">
        <f t="shared" si="1"/>
        <v>40628</v>
      </c>
      <c r="B64" s="15">
        <v>14734187.45</v>
      </c>
      <c r="C64" s="15">
        <v>111817.45</v>
      </c>
      <c r="D64" s="15">
        <f t="shared" si="0"/>
        <v>13550038</v>
      </c>
      <c r="E64" s="15">
        <v>1072332</v>
      </c>
      <c r="F64" s="16">
        <v>1110</v>
      </c>
      <c r="G64" s="15">
        <v>138</v>
      </c>
    </row>
    <row r="65" ht="12">
      <c r="A65" s="22"/>
    </row>
    <row r="66" spans="1:7" ht="12.75" thickBot="1">
      <c r="A66" s="3" t="s">
        <v>8</v>
      </c>
      <c r="B66" s="17">
        <f>SUM(B13:B64)</f>
        <v>790370033.3300003</v>
      </c>
      <c r="C66" s="17">
        <f>SUM(C13:C64)</f>
        <v>6096211.329999998</v>
      </c>
      <c r="D66" s="17">
        <f>SUM(D13:D64)</f>
        <v>726270877</v>
      </c>
      <c r="E66" s="17">
        <f>SUM(E13:E64)</f>
        <v>58002945</v>
      </c>
      <c r="F66" s="24">
        <f>SUM(F13:F65)/COUNT(F13:F65)</f>
        <v>1097.3653846153845</v>
      </c>
      <c r="G66" s="17">
        <f>+E66/SUM(F13:F65)/7</f>
        <v>145.21029388570528</v>
      </c>
    </row>
    <row r="67" spans="1:5" s="21" customFormat="1" ht="12.75" thickTop="1">
      <c r="A67" s="19"/>
      <c r="B67" s="20"/>
      <c r="C67" s="20"/>
      <c r="D67" s="20"/>
      <c r="E67" s="20"/>
    </row>
  </sheetData>
  <sheetProtection/>
  <mergeCells count="6">
    <mergeCell ref="A5:G5"/>
    <mergeCell ref="A8:G8"/>
    <mergeCell ref="A1:G1"/>
    <mergeCell ref="A2:G2"/>
    <mergeCell ref="A3:G3"/>
    <mergeCell ref="A4:G4"/>
  </mergeCells>
  <hyperlinks>
    <hyperlink ref="A4" r:id="rId1" display="www.monticellogamingand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5.140625" style="3" customWidth="1"/>
    <col min="2" max="5" width="15.140625" style="15" customWidth="1"/>
    <col min="6" max="6" width="15.140625" style="16" customWidth="1"/>
    <col min="7" max="7" width="15.140625" style="15" customWidth="1"/>
  </cols>
  <sheetData>
    <row r="1" spans="1:11" ht="18">
      <c r="A1" s="35" t="s">
        <v>16</v>
      </c>
      <c r="B1" s="35"/>
      <c r="C1" s="35"/>
      <c r="D1" s="35"/>
      <c r="E1" s="35"/>
      <c r="F1" s="35"/>
      <c r="G1" s="35"/>
      <c r="H1" s="26"/>
      <c r="I1" s="26"/>
      <c r="J1" s="26"/>
      <c r="K1" s="26"/>
    </row>
    <row r="2" spans="1:11" ht="15">
      <c r="A2" s="36" t="s">
        <v>17</v>
      </c>
      <c r="B2" s="36"/>
      <c r="C2" s="36"/>
      <c r="D2" s="36"/>
      <c r="E2" s="36"/>
      <c r="F2" s="36"/>
      <c r="G2" s="36"/>
      <c r="H2" s="27"/>
      <c r="I2" s="27"/>
      <c r="J2" s="27"/>
      <c r="K2" s="27"/>
    </row>
    <row r="3" spans="1:11" s="1" customFormat="1" ht="15">
      <c r="A3" s="36" t="s">
        <v>18</v>
      </c>
      <c r="B3" s="36"/>
      <c r="C3" s="36"/>
      <c r="D3" s="36"/>
      <c r="E3" s="36"/>
      <c r="F3" s="36"/>
      <c r="G3" s="36"/>
      <c r="H3" s="27"/>
      <c r="I3" s="27"/>
      <c r="J3" s="27"/>
      <c r="K3" s="27"/>
    </row>
    <row r="4" spans="1:11" s="1" customFormat="1" ht="13.5">
      <c r="A4" s="42" t="s">
        <v>19</v>
      </c>
      <c r="B4" s="42"/>
      <c r="C4" s="42"/>
      <c r="D4" s="42"/>
      <c r="E4" s="42"/>
      <c r="F4" s="42"/>
      <c r="G4" s="42"/>
      <c r="H4" s="28"/>
      <c r="I4" s="28"/>
      <c r="J4" s="28"/>
      <c r="K4" s="28"/>
    </row>
    <row r="5" spans="1:11" s="1" customFormat="1" ht="13.5">
      <c r="A5" s="38" t="s">
        <v>20</v>
      </c>
      <c r="B5" s="38"/>
      <c r="C5" s="38"/>
      <c r="D5" s="38"/>
      <c r="E5" s="38"/>
      <c r="F5" s="38"/>
      <c r="G5" s="38"/>
      <c r="H5" s="29"/>
      <c r="I5" s="29"/>
      <c r="J5" s="29"/>
      <c r="K5" s="29"/>
    </row>
    <row r="6" spans="1:11" s="1" customFormat="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1" customFormat="1" ht="12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10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1.25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1.25">
      <c r="A11" s="13" t="s">
        <v>11</v>
      </c>
      <c r="B11" s="8" t="s">
        <v>3</v>
      </c>
      <c r="C11" s="8" t="s">
        <v>26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">
      <c r="A13" s="22">
        <v>39907</v>
      </c>
      <c r="B13" s="15">
        <v>12523840.78</v>
      </c>
      <c r="C13" s="15">
        <v>0</v>
      </c>
      <c r="D13" s="15">
        <f>+B13-E13</f>
        <v>11599582.469999999</v>
      </c>
      <c r="E13" s="15">
        <v>924258.31</v>
      </c>
      <c r="F13" s="16">
        <v>1587</v>
      </c>
      <c r="G13" s="15">
        <v>83.1990557205869</v>
      </c>
    </row>
    <row r="14" spans="1:7" ht="12">
      <c r="A14" s="22">
        <v>39914</v>
      </c>
      <c r="B14" s="15">
        <v>12843837.66</v>
      </c>
      <c r="C14" s="15">
        <v>0</v>
      </c>
      <c r="D14" s="15">
        <f aca="true" t="shared" si="0" ref="D14:D30">+B14-E14</f>
        <v>11811596.8</v>
      </c>
      <c r="E14" s="15">
        <v>1032240.86</v>
      </c>
      <c r="F14" s="16">
        <v>1587</v>
      </c>
      <c r="G14" s="15">
        <v>92.9193320730939</v>
      </c>
    </row>
    <row r="15" spans="1:7" ht="12">
      <c r="A15" s="22">
        <v>39921</v>
      </c>
      <c r="B15" s="15">
        <v>13684097.34</v>
      </c>
      <c r="C15" s="15">
        <v>0</v>
      </c>
      <c r="D15" s="15">
        <f t="shared" si="0"/>
        <v>12623054.92</v>
      </c>
      <c r="E15" s="15">
        <v>1061042.42</v>
      </c>
      <c r="F15" s="16">
        <v>1587</v>
      </c>
      <c r="G15" s="15">
        <v>95.51196507336394</v>
      </c>
    </row>
    <row r="16" spans="1:7" ht="12">
      <c r="A16" s="22">
        <v>39928</v>
      </c>
      <c r="B16" s="15">
        <v>12939348.8</v>
      </c>
      <c r="C16" s="15">
        <v>0</v>
      </c>
      <c r="D16" s="15">
        <f t="shared" si="0"/>
        <v>11928598.950000001</v>
      </c>
      <c r="E16" s="15">
        <v>1010749.85</v>
      </c>
      <c r="F16" s="16">
        <v>1587</v>
      </c>
      <c r="G16" s="15">
        <v>90.98477360698533</v>
      </c>
    </row>
    <row r="17" spans="1:7" ht="12">
      <c r="A17" s="22">
        <v>39935</v>
      </c>
      <c r="B17" s="15">
        <v>12840055.8</v>
      </c>
      <c r="C17" s="15">
        <v>0</v>
      </c>
      <c r="D17" s="15">
        <f t="shared" si="0"/>
        <v>11803512.440000001</v>
      </c>
      <c r="E17" s="15">
        <v>1036543.36</v>
      </c>
      <c r="F17" s="16">
        <v>1587</v>
      </c>
      <c r="G17" s="15">
        <v>93.30663065982537</v>
      </c>
    </row>
    <row r="18" spans="1:7" ht="12">
      <c r="A18" s="22">
        <v>39942</v>
      </c>
      <c r="B18" s="15">
        <v>14064808.719999999</v>
      </c>
      <c r="C18" s="15">
        <v>0</v>
      </c>
      <c r="D18" s="15">
        <f t="shared" si="0"/>
        <v>12894499.239999998</v>
      </c>
      <c r="E18" s="15">
        <v>1170309.48</v>
      </c>
      <c r="F18" s="16">
        <v>1587</v>
      </c>
      <c r="G18" s="15">
        <v>105.34786929516608</v>
      </c>
    </row>
    <row r="19" spans="1:7" ht="12">
      <c r="A19" s="22">
        <v>39949</v>
      </c>
      <c r="B19" s="15">
        <v>13931560.969999999</v>
      </c>
      <c r="C19" s="15">
        <v>0</v>
      </c>
      <c r="D19" s="15">
        <f t="shared" si="0"/>
        <v>12856579.45</v>
      </c>
      <c r="E19" s="15">
        <v>1074981.52</v>
      </c>
      <c r="F19" s="16">
        <v>1587</v>
      </c>
      <c r="G19" s="15">
        <v>96.76672247727069</v>
      </c>
    </row>
    <row r="20" spans="1:7" ht="12">
      <c r="A20" s="22">
        <v>39956</v>
      </c>
      <c r="B20" s="15">
        <v>13743172.66</v>
      </c>
      <c r="C20" s="15">
        <v>0</v>
      </c>
      <c r="D20" s="15">
        <f t="shared" si="0"/>
        <v>12591272.1</v>
      </c>
      <c r="E20" s="15">
        <v>1151900.56</v>
      </c>
      <c r="F20" s="16">
        <v>1587</v>
      </c>
      <c r="G20" s="15">
        <v>103.69075164281215</v>
      </c>
    </row>
    <row r="21" spans="1:7" ht="12">
      <c r="A21" s="22">
        <v>39963</v>
      </c>
      <c r="B21" s="15">
        <v>15101069.44</v>
      </c>
      <c r="C21" s="15">
        <v>0</v>
      </c>
      <c r="D21" s="15">
        <f t="shared" si="0"/>
        <v>13910091.92</v>
      </c>
      <c r="E21" s="15">
        <v>1190977.52</v>
      </c>
      <c r="F21" s="16">
        <v>1587</v>
      </c>
      <c r="G21" s="15">
        <v>107.2083463858133</v>
      </c>
    </row>
    <row r="22" spans="1:7" ht="12">
      <c r="A22" s="22">
        <v>39970</v>
      </c>
      <c r="B22" s="15">
        <v>13223291.310000002</v>
      </c>
      <c r="C22" s="15">
        <v>0</v>
      </c>
      <c r="D22" s="15">
        <f t="shared" si="0"/>
        <v>12179851.880000003</v>
      </c>
      <c r="E22" s="15">
        <v>1043439.43</v>
      </c>
      <c r="F22" s="16">
        <v>1587</v>
      </c>
      <c r="G22" s="15">
        <v>93.92739490503195</v>
      </c>
    </row>
    <row r="23" spans="1:7" ht="12">
      <c r="A23" s="22">
        <v>39977</v>
      </c>
      <c r="B23" s="15">
        <v>13446666.010000002</v>
      </c>
      <c r="C23" s="15">
        <v>0</v>
      </c>
      <c r="D23" s="15">
        <f t="shared" si="0"/>
        <v>12380523.260000002</v>
      </c>
      <c r="E23" s="15">
        <v>1066142.75</v>
      </c>
      <c r="F23" s="16">
        <v>1587</v>
      </c>
      <c r="G23" s="15">
        <v>95.97108200558107</v>
      </c>
    </row>
    <row r="24" spans="1:7" ht="12">
      <c r="A24" s="22">
        <v>39984</v>
      </c>
      <c r="B24" s="15">
        <v>12820176.25</v>
      </c>
      <c r="C24" s="15">
        <v>0</v>
      </c>
      <c r="D24" s="15">
        <f t="shared" si="0"/>
        <v>11780473.12</v>
      </c>
      <c r="E24" s="15">
        <v>1039703.13</v>
      </c>
      <c r="F24" s="16">
        <v>1587</v>
      </c>
      <c r="G24" s="15">
        <v>93.59106400216041</v>
      </c>
    </row>
    <row r="25" spans="1:7" ht="12">
      <c r="A25" s="22">
        <v>39991</v>
      </c>
      <c r="B25" s="15">
        <v>13299149.879999999</v>
      </c>
      <c r="C25" s="15">
        <v>0</v>
      </c>
      <c r="D25" s="15">
        <f t="shared" si="0"/>
        <v>12245257.229999999</v>
      </c>
      <c r="E25" s="15">
        <v>1053892.65</v>
      </c>
      <c r="F25" s="16">
        <v>1587</v>
      </c>
      <c r="G25" s="15">
        <v>94.86836348906293</v>
      </c>
    </row>
    <row r="26" spans="1:7" ht="12">
      <c r="A26" s="22">
        <v>39998</v>
      </c>
      <c r="B26" s="15">
        <v>16069047.139999999</v>
      </c>
      <c r="C26" s="15">
        <v>0</v>
      </c>
      <c r="D26" s="15">
        <f t="shared" si="0"/>
        <v>14759948.86</v>
      </c>
      <c r="E26" s="15">
        <v>1309098.28</v>
      </c>
      <c r="F26" s="16">
        <v>1587</v>
      </c>
      <c r="G26" s="15">
        <v>117.84123503465659</v>
      </c>
    </row>
    <row r="27" spans="1:7" ht="12">
      <c r="A27" s="22">
        <v>40005</v>
      </c>
      <c r="B27" s="15">
        <v>16033949.59</v>
      </c>
      <c r="C27" s="15">
        <v>0</v>
      </c>
      <c r="D27" s="15">
        <f t="shared" si="0"/>
        <v>14708762.76</v>
      </c>
      <c r="E27" s="15">
        <v>1325186.83</v>
      </c>
      <c r="F27" s="16">
        <v>1587</v>
      </c>
      <c r="G27" s="15">
        <v>119.28947970114322</v>
      </c>
    </row>
    <row r="28" spans="1:7" ht="12">
      <c r="A28" s="22">
        <v>40012</v>
      </c>
      <c r="B28" s="15">
        <v>15487017.489999998</v>
      </c>
      <c r="C28" s="15">
        <v>0</v>
      </c>
      <c r="D28" s="15">
        <f t="shared" si="0"/>
        <v>14245471.029999997</v>
      </c>
      <c r="E28" s="15">
        <v>1241546.46</v>
      </c>
      <c r="F28" s="16">
        <v>1587</v>
      </c>
      <c r="G28" s="15">
        <v>111.760415879017</v>
      </c>
    </row>
    <row r="29" spans="1:7" ht="12">
      <c r="A29" s="22">
        <v>40019</v>
      </c>
      <c r="B29" s="15">
        <v>16336087.8</v>
      </c>
      <c r="C29" s="15">
        <v>0</v>
      </c>
      <c r="D29" s="15">
        <f t="shared" si="0"/>
        <v>15091402.950000001</v>
      </c>
      <c r="E29" s="15">
        <v>1244684.85</v>
      </c>
      <c r="F29" s="16">
        <v>1557.857142857143</v>
      </c>
      <c r="G29" s="15">
        <v>114.13891334250344</v>
      </c>
    </row>
    <row r="30" spans="1:7" ht="12">
      <c r="A30" s="22">
        <v>40026</v>
      </c>
      <c r="B30" s="15">
        <v>16265739.159999996</v>
      </c>
      <c r="C30" s="15">
        <v>0</v>
      </c>
      <c r="D30" s="15">
        <f t="shared" si="0"/>
        <v>14988459.779999997</v>
      </c>
      <c r="E30" s="15">
        <v>1277279.38</v>
      </c>
      <c r="F30" s="16">
        <v>1462.4285714285713</v>
      </c>
      <c r="G30" s="15">
        <v>124.77086841848197</v>
      </c>
    </row>
    <row r="31" spans="1:7" ht="12">
      <c r="A31" s="22">
        <v>40033</v>
      </c>
      <c r="B31" s="15">
        <v>15331344.540000001</v>
      </c>
      <c r="C31" s="15">
        <v>20724.99</v>
      </c>
      <c r="D31" s="15">
        <f aca="true" t="shared" si="1" ref="D31:D64">+B31-C31-E31</f>
        <v>14034952.790000001</v>
      </c>
      <c r="E31" s="15">
        <v>1275666.76</v>
      </c>
      <c r="F31" s="16">
        <v>1370.857142857143</v>
      </c>
      <c r="G31" s="15">
        <v>132.93734472696957</v>
      </c>
    </row>
    <row r="32" spans="1:7" ht="12">
      <c r="A32" s="22">
        <v>40040</v>
      </c>
      <c r="B32" s="15">
        <v>14945829.889999999</v>
      </c>
      <c r="C32" s="15">
        <v>40348.48</v>
      </c>
      <c r="D32" s="15">
        <f t="shared" si="1"/>
        <v>13833557.979999999</v>
      </c>
      <c r="E32" s="15">
        <v>1071923.43</v>
      </c>
      <c r="F32" s="16">
        <v>1309.142857142857</v>
      </c>
      <c r="G32" s="15">
        <v>116.97112941946747</v>
      </c>
    </row>
    <row r="33" spans="1:7" ht="12">
      <c r="A33" s="22">
        <v>40047</v>
      </c>
      <c r="B33" s="15">
        <v>18143975.69</v>
      </c>
      <c r="C33" s="15">
        <v>135473.53</v>
      </c>
      <c r="D33" s="15">
        <f t="shared" si="1"/>
        <v>16618611.14</v>
      </c>
      <c r="E33" s="15">
        <v>1389891.02</v>
      </c>
      <c r="F33" s="16">
        <v>1239.2857142857142</v>
      </c>
      <c r="G33" s="15">
        <v>160.21798501440924</v>
      </c>
    </row>
    <row r="34" spans="1:7" ht="12">
      <c r="A34" s="22">
        <v>40054</v>
      </c>
      <c r="B34" s="15">
        <v>14765997.22</v>
      </c>
      <c r="C34" s="15">
        <v>41993.37</v>
      </c>
      <c r="D34" s="15">
        <f t="shared" si="1"/>
        <v>13535185.48</v>
      </c>
      <c r="E34" s="15">
        <v>1188818.37</v>
      </c>
      <c r="F34" s="16">
        <v>1230</v>
      </c>
      <c r="G34" s="15">
        <v>138.07414285714287</v>
      </c>
    </row>
    <row r="35" spans="1:7" ht="12">
      <c r="A35" s="22">
        <v>40061</v>
      </c>
      <c r="B35" s="15">
        <v>15631660.149999997</v>
      </c>
      <c r="C35" s="15">
        <v>97826.54</v>
      </c>
      <c r="D35" s="15">
        <f t="shared" si="1"/>
        <v>14338821.459999997</v>
      </c>
      <c r="E35" s="15">
        <v>1195012.15</v>
      </c>
      <c r="F35" s="16">
        <v>1213.857142857143</v>
      </c>
      <c r="G35" s="15">
        <v>140.63930210662588</v>
      </c>
    </row>
    <row r="36" spans="1:7" ht="12">
      <c r="A36" s="22">
        <f>+A35+7</f>
        <v>40068</v>
      </c>
      <c r="B36" s="15">
        <v>16773458.559999999</v>
      </c>
      <c r="C36" s="15">
        <v>160553.39</v>
      </c>
      <c r="D36" s="15">
        <f t="shared" si="1"/>
        <v>15448787.969999999</v>
      </c>
      <c r="E36" s="15">
        <v>1164117.2</v>
      </c>
      <c r="F36" s="16">
        <v>1206</v>
      </c>
      <c r="G36" s="15">
        <v>137.89590144515518</v>
      </c>
    </row>
    <row r="37" spans="1:7" ht="12">
      <c r="A37" s="22">
        <f aca="true" t="shared" si="2" ref="A37:A64">+A36+7</f>
        <v>40075</v>
      </c>
      <c r="B37" s="15">
        <v>14020078.91</v>
      </c>
      <c r="C37" s="15">
        <v>102345.99</v>
      </c>
      <c r="D37" s="15">
        <f t="shared" si="1"/>
        <v>12941297.06</v>
      </c>
      <c r="E37" s="15">
        <v>976435.86</v>
      </c>
      <c r="F37" s="16">
        <v>1189.2857142857142</v>
      </c>
      <c r="G37" s="15">
        <v>117.2895927927928</v>
      </c>
    </row>
    <row r="38" spans="1:7" ht="12">
      <c r="A38" s="22">
        <f t="shared" si="2"/>
        <v>40082</v>
      </c>
      <c r="B38" s="15">
        <v>14290043.74</v>
      </c>
      <c r="C38" s="15">
        <v>134291.74</v>
      </c>
      <c r="D38" s="15">
        <f t="shared" si="1"/>
        <v>13077986</v>
      </c>
      <c r="E38" s="15">
        <v>1077766</v>
      </c>
      <c r="F38" s="16">
        <v>1157</v>
      </c>
      <c r="G38" s="15">
        <v>133</v>
      </c>
    </row>
    <row r="39" spans="1:7" ht="12">
      <c r="A39" s="22">
        <f t="shared" si="2"/>
        <v>40089</v>
      </c>
      <c r="B39" s="15">
        <v>13906991.5</v>
      </c>
      <c r="C39" s="15">
        <v>97519.5</v>
      </c>
      <c r="D39" s="15">
        <f t="shared" si="1"/>
        <v>12782550</v>
      </c>
      <c r="E39" s="15">
        <v>1026922</v>
      </c>
      <c r="F39" s="16">
        <v>1105</v>
      </c>
      <c r="G39" s="15">
        <v>133</v>
      </c>
    </row>
    <row r="40" spans="1:7" ht="12">
      <c r="A40" s="22">
        <f t="shared" si="2"/>
        <v>40096</v>
      </c>
      <c r="B40" s="15">
        <v>14355143.11</v>
      </c>
      <c r="C40" s="15">
        <v>118243.11</v>
      </c>
      <c r="D40" s="15">
        <f t="shared" si="1"/>
        <v>13255033</v>
      </c>
      <c r="E40" s="15">
        <v>981867</v>
      </c>
      <c r="F40" s="16">
        <v>1090</v>
      </c>
      <c r="G40" s="15">
        <v>129</v>
      </c>
    </row>
    <row r="41" spans="1:7" ht="12">
      <c r="A41" s="22">
        <f t="shared" si="2"/>
        <v>40103</v>
      </c>
      <c r="B41" s="15">
        <v>13874062.68</v>
      </c>
      <c r="C41" s="15">
        <v>132877.68</v>
      </c>
      <c r="D41" s="15">
        <f t="shared" si="1"/>
        <v>12807542</v>
      </c>
      <c r="E41" s="15">
        <v>933643</v>
      </c>
      <c r="F41" s="16">
        <v>1090</v>
      </c>
      <c r="G41" s="15">
        <v>122</v>
      </c>
    </row>
    <row r="42" spans="1:7" ht="12">
      <c r="A42" s="22">
        <f t="shared" si="2"/>
        <v>40110</v>
      </c>
      <c r="B42" s="15">
        <v>15361905.16</v>
      </c>
      <c r="C42" s="15">
        <v>126175.16</v>
      </c>
      <c r="D42" s="15">
        <f t="shared" si="1"/>
        <v>14160595</v>
      </c>
      <c r="E42" s="15">
        <v>1075135</v>
      </c>
      <c r="F42" s="16">
        <v>1090</v>
      </c>
      <c r="G42" s="15">
        <v>141</v>
      </c>
    </row>
    <row r="43" spans="1:7" ht="12">
      <c r="A43" s="22">
        <f t="shared" si="2"/>
        <v>40117</v>
      </c>
      <c r="B43" s="15">
        <v>12178895.84</v>
      </c>
      <c r="C43" s="15">
        <v>88804.84</v>
      </c>
      <c r="D43" s="15">
        <f t="shared" si="1"/>
        <v>11192522</v>
      </c>
      <c r="E43" s="15">
        <v>897569</v>
      </c>
      <c r="F43" s="16">
        <v>1090</v>
      </c>
      <c r="G43" s="15">
        <v>118</v>
      </c>
    </row>
    <row r="44" spans="1:7" ht="12">
      <c r="A44" s="22">
        <f t="shared" si="2"/>
        <v>40124</v>
      </c>
      <c r="B44" s="15">
        <v>13270991.31</v>
      </c>
      <c r="C44" s="15">
        <v>102552.31</v>
      </c>
      <c r="D44" s="15">
        <f t="shared" si="1"/>
        <v>12284302</v>
      </c>
      <c r="E44" s="15">
        <v>884137</v>
      </c>
      <c r="F44" s="16">
        <v>1090</v>
      </c>
      <c r="G44" s="15">
        <v>116</v>
      </c>
    </row>
    <row r="45" spans="1:7" ht="12">
      <c r="A45" s="22">
        <f t="shared" si="2"/>
        <v>40131</v>
      </c>
      <c r="B45" s="15">
        <v>13999277.87</v>
      </c>
      <c r="C45" s="15">
        <v>168200.87</v>
      </c>
      <c r="D45" s="15">
        <f t="shared" si="1"/>
        <v>12900456</v>
      </c>
      <c r="E45" s="15">
        <v>930621</v>
      </c>
      <c r="F45" s="16">
        <v>1090</v>
      </c>
      <c r="G45" s="15">
        <v>122</v>
      </c>
    </row>
    <row r="46" spans="1:7" ht="12">
      <c r="A46" s="22">
        <f t="shared" si="2"/>
        <v>40138</v>
      </c>
      <c r="B46" s="15">
        <v>13567820.21</v>
      </c>
      <c r="C46" s="15">
        <v>135514.21</v>
      </c>
      <c r="D46" s="15">
        <f t="shared" si="1"/>
        <v>12486490</v>
      </c>
      <c r="E46" s="15">
        <v>945816</v>
      </c>
      <c r="F46" s="16">
        <v>1090</v>
      </c>
      <c r="G46" s="15">
        <v>124</v>
      </c>
    </row>
    <row r="47" spans="1:7" ht="12">
      <c r="A47" s="22">
        <f t="shared" si="2"/>
        <v>40145</v>
      </c>
      <c r="B47" s="15">
        <v>14616480.61</v>
      </c>
      <c r="C47" s="15">
        <v>172260.61</v>
      </c>
      <c r="D47" s="15">
        <f t="shared" si="1"/>
        <v>13481655</v>
      </c>
      <c r="E47" s="15">
        <v>962565</v>
      </c>
      <c r="F47" s="16">
        <v>1090</v>
      </c>
      <c r="G47" s="15">
        <v>126</v>
      </c>
    </row>
    <row r="48" spans="1:7" ht="12">
      <c r="A48" s="22">
        <f t="shared" si="2"/>
        <v>40152</v>
      </c>
      <c r="B48" s="15">
        <v>11681891.98</v>
      </c>
      <c r="C48" s="15">
        <v>132596.98</v>
      </c>
      <c r="D48" s="15">
        <f t="shared" si="1"/>
        <v>10744924</v>
      </c>
      <c r="E48" s="15">
        <v>804371</v>
      </c>
      <c r="F48" s="16">
        <v>1090</v>
      </c>
      <c r="G48" s="15">
        <v>105</v>
      </c>
    </row>
    <row r="49" spans="1:7" ht="12">
      <c r="A49" s="22">
        <f t="shared" si="2"/>
        <v>40159</v>
      </c>
      <c r="B49" s="15">
        <v>12547550.06</v>
      </c>
      <c r="C49" s="15">
        <v>215830.06</v>
      </c>
      <c r="D49" s="15">
        <f t="shared" si="1"/>
        <v>11594692</v>
      </c>
      <c r="E49" s="15">
        <v>737028</v>
      </c>
      <c r="F49" s="16">
        <v>1090</v>
      </c>
      <c r="G49" s="15">
        <v>97</v>
      </c>
    </row>
    <row r="50" spans="1:7" ht="12">
      <c r="A50" s="22">
        <f t="shared" si="2"/>
        <v>40166</v>
      </c>
      <c r="B50" s="15">
        <v>8464422.09</v>
      </c>
      <c r="C50" s="15">
        <v>80839.09</v>
      </c>
      <c r="D50" s="15">
        <f t="shared" si="1"/>
        <v>7775257</v>
      </c>
      <c r="E50" s="15">
        <v>608326</v>
      </c>
      <c r="F50" s="16">
        <v>1090</v>
      </c>
      <c r="G50" s="15">
        <v>80</v>
      </c>
    </row>
    <row r="51" spans="1:7" ht="12">
      <c r="A51" s="22">
        <f t="shared" si="2"/>
        <v>40173</v>
      </c>
      <c r="B51" s="15">
        <v>10320891.81</v>
      </c>
      <c r="C51" s="15">
        <v>84542.81</v>
      </c>
      <c r="D51" s="15">
        <f t="shared" si="1"/>
        <v>9508439</v>
      </c>
      <c r="E51" s="15">
        <v>727910</v>
      </c>
      <c r="F51" s="16">
        <v>1090</v>
      </c>
      <c r="G51" s="15">
        <v>95</v>
      </c>
    </row>
    <row r="52" spans="1:7" ht="12">
      <c r="A52" s="22">
        <f t="shared" si="2"/>
        <v>40180</v>
      </c>
      <c r="B52" s="15">
        <v>17000382.09</v>
      </c>
      <c r="C52" s="15">
        <v>180248.09</v>
      </c>
      <c r="D52" s="15">
        <f t="shared" si="1"/>
        <v>15654226</v>
      </c>
      <c r="E52" s="15">
        <v>1165908</v>
      </c>
      <c r="F52" s="16">
        <v>1090</v>
      </c>
      <c r="G52" s="15">
        <v>153</v>
      </c>
    </row>
    <row r="53" spans="1:7" ht="12">
      <c r="A53" s="22">
        <f t="shared" si="2"/>
        <v>40187</v>
      </c>
      <c r="B53" s="15">
        <v>11390193.63</v>
      </c>
      <c r="C53" s="15">
        <v>136126.63</v>
      </c>
      <c r="D53" s="15">
        <f t="shared" si="1"/>
        <v>10431154</v>
      </c>
      <c r="E53" s="15">
        <v>822913</v>
      </c>
      <c r="F53" s="16">
        <v>1090</v>
      </c>
      <c r="G53" s="15">
        <v>108</v>
      </c>
    </row>
    <row r="54" spans="1:7" ht="12">
      <c r="A54" s="22">
        <f t="shared" si="2"/>
        <v>40194</v>
      </c>
      <c r="B54" s="15">
        <v>13422787.28</v>
      </c>
      <c r="C54" s="15">
        <v>104268.28</v>
      </c>
      <c r="D54" s="15">
        <f t="shared" si="1"/>
        <v>12416222</v>
      </c>
      <c r="E54" s="15">
        <v>902297</v>
      </c>
      <c r="F54" s="16">
        <v>1090</v>
      </c>
      <c r="G54" s="15">
        <v>118</v>
      </c>
    </row>
    <row r="55" spans="1:7" ht="12">
      <c r="A55" s="22">
        <f t="shared" si="2"/>
        <v>40201</v>
      </c>
      <c r="B55" s="15">
        <v>12846539.04</v>
      </c>
      <c r="C55" s="15">
        <v>105583.04</v>
      </c>
      <c r="D55" s="15">
        <f t="shared" si="1"/>
        <v>11867696</v>
      </c>
      <c r="E55" s="15">
        <v>873260</v>
      </c>
      <c r="F55" s="16">
        <v>1090</v>
      </c>
      <c r="G55" s="15">
        <v>114</v>
      </c>
    </row>
    <row r="56" spans="1:7" ht="12">
      <c r="A56" s="22">
        <f t="shared" si="2"/>
        <v>40208</v>
      </c>
      <c r="B56" s="15">
        <v>13510627.64</v>
      </c>
      <c r="C56" s="15">
        <v>136095.64</v>
      </c>
      <c r="D56" s="15">
        <f t="shared" si="1"/>
        <v>12496634</v>
      </c>
      <c r="E56" s="15">
        <v>877898</v>
      </c>
      <c r="F56" s="16">
        <v>1090</v>
      </c>
      <c r="G56" s="15">
        <v>115</v>
      </c>
    </row>
    <row r="57" spans="1:7" ht="12">
      <c r="A57" s="22">
        <f t="shared" si="2"/>
        <v>40215</v>
      </c>
      <c r="B57" s="15">
        <v>13013837.69</v>
      </c>
      <c r="C57" s="15">
        <v>90142.69</v>
      </c>
      <c r="D57" s="15">
        <f t="shared" si="1"/>
        <v>11975849</v>
      </c>
      <c r="E57" s="15">
        <v>947846</v>
      </c>
      <c r="F57" s="16">
        <v>1090</v>
      </c>
      <c r="G57" s="15">
        <v>124</v>
      </c>
    </row>
    <row r="58" spans="1:7" ht="12">
      <c r="A58" s="22">
        <f t="shared" si="2"/>
        <v>40222</v>
      </c>
      <c r="B58" s="15">
        <v>13262743.32</v>
      </c>
      <c r="C58" s="15">
        <v>91626.32</v>
      </c>
      <c r="D58" s="15">
        <f t="shared" si="1"/>
        <v>12187375</v>
      </c>
      <c r="E58" s="15">
        <v>983742</v>
      </c>
      <c r="F58" s="16">
        <v>1090</v>
      </c>
      <c r="G58" s="15">
        <v>129</v>
      </c>
    </row>
    <row r="59" spans="1:7" ht="12">
      <c r="A59" s="22">
        <f t="shared" si="2"/>
        <v>40229</v>
      </c>
      <c r="B59" s="15">
        <v>15947694.95</v>
      </c>
      <c r="C59" s="15">
        <v>99832.95</v>
      </c>
      <c r="D59" s="15">
        <f t="shared" si="1"/>
        <v>14739843</v>
      </c>
      <c r="E59" s="15">
        <v>1108019</v>
      </c>
      <c r="F59" s="16">
        <v>1090</v>
      </c>
      <c r="G59" s="15">
        <v>145</v>
      </c>
    </row>
    <row r="60" spans="1:7" ht="12">
      <c r="A60" s="22">
        <f t="shared" si="2"/>
        <v>40236</v>
      </c>
      <c r="B60" s="15">
        <v>8486204.46</v>
      </c>
      <c r="C60" s="15">
        <v>70445.46</v>
      </c>
      <c r="D60" s="15">
        <f t="shared" si="1"/>
        <v>7830842</v>
      </c>
      <c r="E60" s="15">
        <v>584917</v>
      </c>
      <c r="F60" s="16">
        <v>1090</v>
      </c>
      <c r="G60" s="15">
        <v>89</v>
      </c>
    </row>
    <row r="61" spans="1:7" ht="12">
      <c r="A61" s="22">
        <f t="shared" si="2"/>
        <v>40243</v>
      </c>
      <c r="B61" s="15">
        <v>15565567.21</v>
      </c>
      <c r="C61" s="15">
        <v>114982.21</v>
      </c>
      <c r="D61" s="15">
        <f t="shared" si="1"/>
        <v>14394586</v>
      </c>
      <c r="E61" s="15">
        <v>1055999</v>
      </c>
      <c r="F61" s="16">
        <v>1090</v>
      </c>
      <c r="G61" s="15">
        <v>138</v>
      </c>
    </row>
    <row r="62" spans="1:7" ht="12">
      <c r="A62" s="22">
        <f t="shared" si="2"/>
        <v>40250</v>
      </c>
      <c r="B62" s="15">
        <v>13749318.59</v>
      </c>
      <c r="C62" s="15">
        <v>90107.59</v>
      </c>
      <c r="D62" s="15">
        <f t="shared" si="1"/>
        <v>12710676</v>
      </c>
      <c r="E62" s="15">
        <v>948535</v>
      </c>
      <c r="F62" s="16">
        <v>1090</v>
      </c>
      <c r="G62" s="15">
        <v>124</v>
      </c>
    </row>
    <row r="63" spans="1:7" ht="12">
      <c r="A63" s="22">
        <f t="shared" si="2"/>
        <v>40257</v>
      </c>
      <c r="B63" s="15">
        <v>15016137.93</v>
      </c>
      <c r="C63" s="15">
        <v>97336.93</v>
      </c>
      <c r="D63" s="15">
        <f t="shared" si="1"/>
        <v>13795818</v>
      </c>
      <c r="E63" s="15">
        <v>1122983</v>
      </c>
      <c r="F63" s="16">
        <v>1090</v>
      </c>
      <c r="G63" s="15">
        <v>147</v>
      </c>
    </row>
    <row r="64" spans="1:7" ht="12">
      <c r="A64" s="22">
        <f t="shared" si="2"/>
        <v>40264</v>
      </c>
      <c r="B64" s="15">
        <v>15158422.59</v>
      </c>
      <c r="C64" s="15">
        <v>113169.59</v>
      </c>
      <c r="D64" s="15">
        <f t="shared" si="1"/>
        <v>13836608</v>
      </c>
      <c r="E64" s="15">
        <v>1208645</v>
      </c>
      <c r="F64" s="16">
        <v>1090</v>
      </c>
      <c r="G64" s="15">
        <v>158</v>
      </c>
    </row>
    <row r="65" ht="12">
      <c r="A65" s="22"/>
    </row>
    <row r="66" spans="1:7" ht="12.75" thickBot="1">
      <c r="A66" s="3" t="s">
        <v>8</v>
      </c>
      <c r="B66" s="17">
        <f>SUM(B13:B64)</f>
        <v>725072086.1500002</v>
      </c>
      <c r="C66" s="17">
        <f>SUM(C13:C64)</f>
        <v>3819480.6799999992</v>
      </c>
      <c r="D66" s="17">
        <f>SUM(D13:D64)</f>
        <v>667540125.04</v>
      </c>
      <c r="E66" s="17">
        <f>SUM(E13:E64)</f>
        <v>53712480.43</v>
      </c>
      <c r="F66" s="24">
        <f>SUM(F13:F65)/COUNT(F13:F65)</f>
        <v>1282.35989010989</v>
      </c>
      <c r="G66" s="17">
        <f>+E66/SUM(F13:F65)/7</f>
        <v>115.07047324322643</v>
      </c>
    </row>
    <row r="67" spans="1:5" s="21" customFormat="1" ht="12.75" thickTop="1">
      <c r="A67" s="19"/>
      <c r="B67" s="20"/>
      <c r="C67" s="20"/>
      <c r="D67" s="20"/>
      <c r="E67" s="20"/>
    </row>
  </sheetData>
  <sheetProtection/>
  <mergeCells count="6">
    <mergeCell ref="A5:G5"/>
    <mergeCell ref="A8:G8"/>
    <mergeCell ref="A1:G1"/>
    <mergeCell ref="A2:G2"/>
    <mergeCell ref="A3:G3"/>
    <mergeCell ref="A4:G4"/>
  </mergeCells>
  <hyperlinks>
    <hyperlink ref="A4" r:id="rId1" display="www.monticellogamingand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pane ySplit="11" topLeftCell="A57" activePane="bottomLeft" state="frozen"/>
      <selection pane="topLeft" activeCell="A1" sqref="A1"/>
      <selection pane="bottomLeft" activeCell="D69" sqref="D69"/>
    </sheetView>
  </sheetViews>
  <sheetFormatPr defaultColWidth="9.140625" defaultRowHeight="12.75"/>
  <cols>
    <col min="1" max="1" width="15.57421875" style="3" customWidth="1"/>
    <col min="2" max="4" width="15.57421875" style="15" customWidth="1"/>
    <col min="5" max="5" width="15.57421875" style="16" customWidth="1"/>
    <col min="6" max="6" width="15.57421875" style="15" customWidth="1"/>
  </cols>
  <sheetData>
    <row r="1" spans="1:9" ht="18">
      <c r="A1" s="35" t="s">
        <v>16</v>
      </c>
      <c r="B1" s="35"/>
      <c r="C1" s="35"/>
      <c r="D1" s="35"/>
      <c r="E1" s="35"/>
      <c r="F1" s="35"/>
      <c r="G1" s="26"/>
      <c r="H1" s="26"/>
      <c r="I1" s="26"/>
    </row>
    <row r="2" spans="1:9" ht="15">
      <c r="A2" s="36" t="s">
        <v>17</v>
      </c>
      <c r="B2" s="36"/>
      <c r="C2" s="36"/>
      <c r="D2" s="36"/>
      <c r="E2" s="36"/>
      <c r="F2" s="36"/>
      <c r="G2" s="27"/>
      <c r="H2" s="27"/>
      <c r="I2" s="27"/>
    </row>
    <row r="3" spans="1:9" s="1" customFormat="1" ht="15">
      <c r="A3" s="36" t="s">
        <v>18</v>
      </c>
      <c r="B3" s="36"/>
      <c r="C3" s="36"/>
      <c r="D3" s="36"/>
      <c r="E3" s="36"/>
      <c r="F3" s="36"/>
      <c r="G3" s="27"/>
      <c r="H3" s="27"/>
      <c r="I3" s="27"/>
    </row>
    <row r="4" spans="1:9" s="1" customFormat="1" ht="13.5">
      <c r="A4" s="42" t="s">
        <v>19</v>
      </c>
      <c r="B4" s="42"/>
      <c r="C4" s="42"/>
      <c r="D4" s="42"/>
      <c r="E4" s="42"/>
      <c r="F4" s="42"/>
      <c r="G4" s="28"/>
      <c r="H4" s="28"/>
      <c r="I4" s="28"/>
    </row>
    <row r="5" spans="1:9" s="1" customFormat="1" ht="13.5">
      <c r="A5" s="38" t="s">
        <v>20</v>
      </c>
      <c r="B5" s="38"/>
      <c r="C5" s="38"/>
      <c r="D5" s="38"/>
      <c r="E5" s="38"/>
      <c r="F5" s="38"/>
      <c r="G5" s="29"/>
      <c r="H5" s="29"/>
      <c r="I5" s="29"/>
    </row>
    <row r="6" spans="1:6" s="1" customFormat="1" ht="13.5">
      <c r="A6" s="2"/>
      <c r="B6" s="2"/>
      <c r="C6" s="2"/>
      <c r="D6" s="2"/>
      <c r="E6" s="2"/>
      <c r="F6" s="2"/>
    </row>
    <row r="7" spans="1:6" s="1" customFormat="1" ht="12">
      <c r="A7" s="3"/>
      <c r="B7" s="4"/>
      <c r="C7" s="4"/>
      <c r="D7" s="5"/>
      <c r="E7" s="6"/>
      <c r="F7" s="5"/>
    </row>
    <row r="8" spans="1:6" s="7" customFormat="1" ht="14.25" customHeight="1">
      <c r="A8" s="39" t="s">
        <v>9</v>
      </c>
      <c r="B8" s="40"/>
      <c r="C8" s="40"/>
      <c r="D8" s="40"/>
      <c r="E8" s="40"/>
      <c r="F8" s="41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1.25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1.25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">
      <c r="A13" s="22">
        <v>39543</v>
      </c>
      <c r="B13" s="15">
        <v>14148665.93</v>
      </c>
      <c r="C13" s="15">
        <f>+B13-D13</f>
        <v>13077861.09</v>
      </c>
      <c r="D13" s="15">
        <v>1070804.84</v>
      </c>
      <c r="E13" s="16">
        <v>1587</v>
      </c>
      <c r="F13" s="15">
        <v>96.39074984247007</v>
      </c>
    </row>
    <row r="14" spans="1:6" ht="12">
      <c r="A14" s="22">
        <v>39550</v>
      </c>
      <c r="B14" s="15">
        <v>14679961.44</v>
      </c>
      <c r="C14" s="15">
        <f aca="true" t="shared" si="0" ref="C14:C64">+B14-D14</f>
        <v>13521515.629999999</v>
      </c>
      <c r="D14" s="15">
        <v>1158445.81</v>
      </c>
      <c r="E14" s="16">
        <v>1587</v>
      </c>
      <c r="F14" s="15">
        <v>104.2799360878567</v>
      </c>
    </row>
    <row r="15" spans="1:6" ht="12">
      <c r="A15" s="22">
        <v>39557</v>
      </c>
      <c r="B15" s="15">
        <v>13728374.84</v>
      </c>
      <c r="C15" s="15">
        <f t="shared" si="0"/>
        <v>12685102.59</v>
      </c>
      <c r="D15" s="15">
        <v>1043272.25</v>
      </c>
      <c r="E15" s="16">
        <v>1587</v>
      </c>
      <c r="F15" s="15">
        <v>93.91234584571069</v>
      </c>
    </row>
    <row r="16" spans="1:6" ht="12">
      <c r="A16" s="22">
        <v>39564</v>
      </c>
      <c r="B16" s="15">
        <v>14827610.809999999</v>
      </c>
      <c r="C16" s="15">
        <f t="shared" si="0"/>
        <v>13714801.909999998</v>
      </c>
      <c r="D16" s="15">
        <v>1112808.9</v>
      </c>
      <c r="E16" s="16">
        <v>1587</v>
      </c>
      <c r="F16" s="15">
        <v>100.1718336483932</v>
      </c>
    </row>
    <row r="17" spans="1:6" ht="12">
      <c r="A17" s="22">
        <v>39571</v>
      </c>
      <c r="B17" s="15">
        <v>15091617.430000003</v>
      </c>
      <c r="C17" s="15">
        <f t="shared" si="0"/>
        <v>13858140.370000003</v>
      </c>
      <c r="D17" s="15">
        <v>1233477.06</v>
      </c>
      <c r="E17" s="16">
        <v>1587</v>
      </c>
      <c r="F17" s="15">
        <v>111.03403186605453</v>
      </c>
    </row>
    <row r="18" spans="1:6" ht="12">
      <c r="A18" s="22">
        <v>39578</v>
      </c>
      <c r="B18" s="15">
        <v>15265803.5</v>
      </c>
      <c r="C18" s="15">
        <f t="shared" si="0"/>
        <v>14073353.53</v>
      </c>
      <c r="D18" s="15">
        <v>1192449.97</v>
      </c>
      <c r="E18" s="16">
        <v>1587</v>
      </c>
      <c r="F18" s="15">
        <v>107.34089206949321</v>
      </c>
    </row>
    <row r="19" spans="1:6" ht="12">
      <c r="A19" s="22">
        <v>39585</v>
      </c>
      <c r="B19" s="15">
        <v>15783900.280000001</v>
      </c>
      <c r="C19" s="15">
        <f t="shared" si="0"/>
        <v>14623001.39</v>
      </c>
      <c r="D19" s="15">
        <v>1160898.89</v>
      </c>
      <c r="E19" s="16">
        <v>1587</v>
      </c>
      <c r="F19" s="15">
        <v>104.50075524349627</v>
      </c>
    </row>
    <row r="20" spans="1:6" ht="12">
      <c r="A20" s="22">
        <v>39592</v>
      </c>
      <c r="B20" s="15">
        <v>15598898.729999999</v>
      </c>
      <c r="C20" s="15">
        <f t="shared" si="0"/>
        <v>14395395.229999999</v>
      </c>
      <c r="D20" s="15">
        <v>1203503.5</v>
      </c>
      <c r="E20" s="16">
        <v>1587</v>
      </c>
      <c r="F20" s="15">
        <v>108.33589882077595</v>
      </c>
    </row>
    <row r="21" spans="1:6" ht="12">
      <c r="A21" s="22">
        <v>39599</v>
      </c>
      <c r="B21" s="15">
        <v>17256217.88</v>
      </c>
      <c r="C21" s="15">
        <f t="shared" si="0"/>
        <v>15862708.34</v>
      </c>
      <c r="D21" s="15">
        <v>1393509.54</v>
      </c>
      <c r="E21" s="16">
        <v>1587</v>
      </c>
      <c r="F21" s="15">
        <v>125.4396921415069</v>
      </c>
    </row>
    <row r="22" spans="1:6" ht="12">
      <c r="A22" s="22">
        <v>39606</v>
      </c>
      <c r="B22" s="15">
        <v>14638043.23</v>
      </c>
      <c r="C22" s="15">
        <f t="shared" si="0"/>
        <v>13482673.72</v>
      </c>
      <c r="D22" s="15">
        <v>1155369.51</v>
      </c>
      <c r="E22" s="16">
        <v>1587</v>
      </c>
      <c r="F22" s="15">
        <v>104.00301647312989</v>
      </c>
    </row>
    <row r="23" spans="1:6" ht="12">
      <c r="A23" s="22">
        <v>39613</v>
      </c>
      <c r="B23" s="15">
        <v>14075554.879999999</v>
      </c>
      <c r="C23" s="15">
        <f t="shared" si="0"/>
        <v>12926898.02</v>
      </c>
      <c r="D23" s="15">
        <v>1148656.86</v>
      </c>
      <c r="E23" s="16">
        <v>1587</v>
      </c>
      <c r="F23" s="15">
        <v>103.39876316500134</v>
      </c>
    </row>
    <row r="24" spans="1:6" ht="12">
      <c r="A24" s="22">
        <v>39620</v>
      </c>
      <c r="B24" s="15">
        <v>14401539.96</v>
      </c>
      <c r="C24" s="15">
        <f t="shared" si="0"/>
        <v>13208073.06</v>
      </c>
      <c r="D24" s="15">
        <v>1193466.9</v>
      </c>
      <c r="E24" s="16">
        <v>1587</v>
      </c>
      <c r="F24" s="15">
        <v>107.43243316230085</v>
      </c>
    </row>
    <row r="25" spans="1:6" ht="12">
      <c r="A25" s="22">
        <v>39627</v>
      </c>
      <c r="B25" s="15">
        <v>15419178.069999998</v>
      </c>
      <c r="C25" s="15">
        <f t="shared" si="0"/>
        <v>14190442.019999998</v>
      </c>
      <c r="D25" s="15">
        <v>1228736.05</v>
      </c>
      <c r="E25" s="16">
        <v>1587</v>
      </c>
      <c r="F25" s="15">
        <v>110.60725987937708</v>
      </c>
    </row>
    <row r="26" spans="1:6" ht="12">
      <c r="A26" s="22">
        <v>39634</v>
      </c>
      <c r="B26" s="15">
        <v>19725616.470000003</v>
      </c>
      <c r="C26" s="15">
        <f t="shared" si="0"/>
        <v>18226862.090000004</v>
      </c>
      <c r="D26" s="15">
        <v>1498754.38</v>
      </c>
      <c r="E26" s="16">
        <v>1587</v>
      </c>
      <c r="F26" s="15">
        <v>134.91352777027635</v>
      </c>
    </row>
    <row r="27" spans="1:6" ht="12">
      <c r="A27" s="22">
        <v>39641</v>
      </c>
      <c r="B27" s="15">
        <v>18480171.84</v>
      </c>
      <c r="C27" s="15">
        <f t="shared" si="0"/>
        <v>17067060.2</v>
      </c>
      <c r="D27" s="15">
        <v>1413111.64</v>
      </c>
      <c r="E27" s="16">
        <v>1587</v>
      </c>
      <c r="F27" s="15">
        <v>127.20421640111618</v>
      </c>
    </row>
    <row r="28" spans="1:6" ht="12">
      <c r="A28" s="22">
        <v>39648</v>
      </c>
      <c r="B28" s="15">
        <v>18565267.730000004</v>
      </c>
      <c r="C28" s="15">
        <f t="shared" si="0"/>
        <v>17064277.640000004</v>
      </c>
      <c r="D28" s="15">
        <v>1500990.09</v>
      </c>
      <c r="E28" s="16">
        <v>1587</v>
      </c>
      <c r="F28" s="15">
        <v>135.11477990818256</v>
      </c>
    </row>
    <row r="29" spans="1:6" ht="12">
      <c r="A29" s="22">
        <v>39655</v>
      </c>
      <c r="B29" s="15">
        <v>17536285.96</v>
      </c>
      <c r="C29" s="15">
        <f t="shared" si="0"/>
        <v>16148166.5</v>
      </c>
      <c r="D29" s="15">
        <v>1388119.46</v>
      </c>
      <c r="E29" s="16">
        <v>1587</v>
      </c>
      <c r="F29" s="15">
        <v>124.9544927536232</v>
      </c>
    </row>
    <row r="30" spans="1:6" ht="12">
      <c r="A30" s="22">
        <v>39662</v>
      </c>
      <c r="B30" s="15">
        <v>18176862.560000002</v>
      </c>
      <c r="C30" s="15">
        <f t="shared" si="0"/>
        <v>16687803.880000003</v>
      </c>
      <c r="D30" s="15">
        <v>1489058.68</v>
      </c>
      <c r="E30" s="16">
        <v>1587</v>
      </c>
      <c r="F30" s="15">
        <v>134.04074894229902</v>
      </c>
    </row>
    <row r="31" spans="1:6" ht="12">
      <c r="A31" s="22">
        <v>39669</v>
      </c>
      <c r="B31" s="15">
        <v>18785582.83</v>
      </c>
      <c r="C31" s="15">
        <f t="shared" si="0"/>
        <v>17290091.63</v>
      </c>
      <c r="D31" s="15">
        <v>1495491.2</v>
      </c>
      <c r="E31" s="16">
        <v>1587</v>
      </c>
      <c r="F31" s="15">
        <v>134.61978575929427</v>
      </c>
    </row>
    <row r="32" spans="1:6" ht="12">
      <c r="A32" s="22">
        <v>39676</v>
      </c>
      <c r="B32" s="15">
        <v>16985762.53</v>
      </c>
      <c r="C32" s="15">
        <f t="shared" si="0"/>
        <v>15699733.05</v>
      </c>
      <c r="D32" s="15">
        <v>1286029.48</v>
      </c>
      <c r="E32" s="16">
        <v>1587</v>
      </c>
      <c r="F32" s="15">
        <v>115.76464848321181</v>
      </c>
    </row>
    <row r="33" spans="1:6" ht="12">
      <c r="A33" s="22">
        <v>39683</v>
      </c>
      <c r="B33" s="15">
        <v>17563834.68</v>
      </c>
      <c r="C33" s="15">
        <f t="shared" si="0"/>
        <v>16157125.879999999</v>
      </c>
      <c r="D33" s="15">
        <v>1406708.8</v>
      </c>
      <c r="E33" s="16">
        <v>1587</v>
      </c>
      <c r="F33" s="15">
        <v>126.62785129174543</v>
      </c>
    </row>
    <row r="34" spans="1:6" ht="12">
      <c r="A34" s="22">
        <v>39690</v>
      </c>
      <c r="B34" s="15">
        <v>18835941.200000003</v>
      </c>
      <c r="C34" s="15">
        <f t="shared" si="0"/>
        <v>17357637.03</v>
      </c>
      <c r="D34" s="15">
        <v>1478304.17</v>
      </c>
      <c r="E34" s="16">
        <v>1587</v>
      </c>
      <c r="F34" s="15">
        <v>133.07265910522997</v>
      </c>
    </row>
    <row r="35" spans="1:6" ht="12">
      <c r="A35" s="22">
        <v>39697</v>
      </c>
      <c r="B35" s="15">
        <v>18129166.740000002</v>
      </c>
      <c r="C35" s="15">
        <f t="shared" si="0"/>
        <v>16671958.340000002</v>
      </c>
      <c r="D35" s="15">
        <v>1457208.4</v>
      </c>
      <c r="E35" s="16">
        <v>1587</v>
      </c>
      <c r="F35" s="15">
        <v>131.1736789990098</v>
      </c>
    </row>
    <row r="36" spans="1:6" ht="12">
      <c r="A36" s="22">
        <v>39704</v>
      </c>
      <c r="B36" s="15">
        <v>15238344.270000001</v>
      </c>
      <c r="C36" s="15">
        <f t="shared" si="0"/>
        <v>14019865.610000001</v>
      </c>
      <c r="D36" s="15">
        <v>1218478.66</v>
      </c>
      <c r="E36" s="16">
        <v>1587</v>
      </c>
      <c r="F36" s="15">
        <v>109.6839193446755</v>
      </c>
    </row>
    <row r="37" spans="1:6" ht="12">
      <c r="A37" s="22">
        <v>39711</v>
      </c>
      <c r="B37" s="15">
        <v>14340528.87</v>
      </c>
      <c r="C37" s="15">
        <f t="shared" si="0"/>
        <v>13230564.34</v>
      </c>
      <c r="D37" s="15">
        <v>1109964.53</v>
      </c>
      <c r="E37" s="16">
        <v>1587</v>
      </c>
      <c r="F37" s="15">
        <v>99.91579170042306</v>
      </c>
    </row>
    <row r="38" spans="1:6" ht="12">
      <c r="A38" s="22">
        <v>39718</v>
      </c>
      <c r="B38" s="15">
        <v>13593507.010000002</v>
      </c>
      <c r="C38" s="15">
        <f t="shared" si="0"/>
        <v>12508524.440000001</v>
      </c>
      <c r="D38" s="15">
        <v>1084982.57</v>
      </c>
      <c r="E38" s="16">
        <v>1587</v>
      </c>
      <c r="F38" s="15">
        <v>97.66698802772527</v>
      </c>
    </row>
    <row r="39" spans="1:6" ht="12">
      <c r="A39" s="22">
        <v>39725</v>
      </c>
      <c r="B39" s="15">
        <v>14093224.8</v>
      </c>
      <c r="C39" s="15">
        <f t="shared" si="0"/>
        <v>13020770.57</v>
      </c>
      <c r="D39" s="15">
        <v>1072454.23</v>
      </c>
      <c r="E39" s="16">
        <v>1587</v>
      </c>
      <c r="F39" s="15">
        <v>96.53922315239896</v>
      </c>
    </row>
    <row r="40" spans="1:6" ht="12">
      <c r="A40" s="22">
        <v>39732</v>
      </c>
      <c r="B40" s="15">
        <v>13280985.44</v>
      </c>
      <c r="C40" s="15">
        <f t="shared" si="0"/>
        <v>12263485.629999999</v>
      </c>
      <c r="D40" s="15">
        <v>1017499.81</v>
      </c>
      <c r="E40" s="16">
        <v>1587</v>
      </c>
      <c r="F40" s="15">
        <v>91.5923854532361</v>
      </c>
    </row>
    <row r="41" spans="1:6" ht="12">
      <c r="A41" s="22">
        <v>39739</v>
      </c>
      <c r="B41" s="15">
        <v>14679509.329999998</v>
      </c>
      <c r="C41" s="15">
        <f t="shared" si="0"/>
        <v>13553547.549999999</v>
      </c>
      <c r="D41" s="15">
        <v>1125961.78</v>
      </c>
      <c r="E41" s="16">
        <v>1587</v>
      </c>
      <c r="F41" s="15">
        <v>101.35581780538303</v>
      </c>
    </row>
    <row r="42" spans="1:6" ht="12">
      <c r="A42" s="22">
        <v>39746</v>
      </c>
      <c r="B42" s="15">
        <v>11846220.48</v>
      </c>
      <c r="C42" s="15">
        <f t="shared" si="0"/>
        <v>11022380.21</v>
      </c>
      <c r="D42" s="15">
        <v>823840.27</v>
      </c>
      <c r="E42" s="16">
        <v>1587</v>
      </c>
      <c r="F42" s="15">
        <v>74.1597146457827</v>
      </c>
    </row>
    <row r="43" spans="1:6" ht="12">
      <c r="A43" s="22">
        <v>39753</v>
      </c>
      <c r="B43" s="15">
        <v>13554679.860000001</v>
      </c>
      <c r="C43" s="15">
        <f t="shared" si="0"/>
        <v>12536463.23</v>
      </c>
      <c r="D43" s="15">
        <v>1018216.63</v>
      </c>
      <c r="E43" s="16">
        <v>1587</v>
      </c>
      <c r="F43" s="15">
        <v>91.65691151318751</v>
      </c>
    </row>
    <row r="44" spans="1:6" ht="12">
      <c r="A44" s="22">
        <v>39760</v>
      </c>
      <c r="B44" s="15">
        <v>13643080.08</v>
      </c>
      <c r="C44" s="15">
        <f t="shared" si="0"/>
        <v>12541859.49</v>
      </c>
      <c r="D44" s="15">
        <v>1101220.59</v>
      </c>
      <c r="E44" s="16">
        <v>1587</v>
      </c>
      <c r="F44" s="15">
        <v>99.12868755063461</v>
      </c>
    </row>
    <row r="45" spans="1:6" ht="12">
      <c r="A45" s="22">
        <v>39767</v>
      </c>
      <c r="B45" s="15">
        <v>12821804.5</v>
      </c>
      <c r="C45" s="15">
        <f t="shared" si="0"/>
        <v>11918271.39</v>
      </c>
      <c r="D45" s="15">
        <v>903533.11</v>
      </c>
      <c r="E45" s="16">
        <v>1587</v>
      </c>
      <c r="F45" s="15">
        <v>81.33343325231795</v>
      </c>
    </row>
    <row r="46" spans="1:6" ht="12">
      <c r="A46" s="22">
        <v>39774</v>
      </c>
      <c r="B46" s="15">
        <v>10795628.23</v>
      </c>
      <c r="C46" s="15">
        <f t="shared" si="0"/>
        <v>9967821.71</v>
      </c>
      <c r="D46" s="15">
        <v>827806.52</v>
      </c>
      <c r="E46" s="16">
        <v>1587</v>
      </c>
      <c r="F46" s="15">
        <v>74.5167449815465</v>
      </c>
    </row>
    <row r="47" spans="1:6" ht="12">
      <c r="A47" s="22">
        <v>39781</v>
      </c>
      <c r="B47" s="15">
        <v>12924611.74</v>
      </c>
      <c r="C47" s="15">
        <f t="shared" si="0"/>
        <v>11973417.63</v>
      </c>
      <c r="D47" s="15">
        <v>951194.11</v>
      </c>
      <c r="E47" s="16">
        <v>1587</v>
      </c>
      <c r="F47" s="15">
        <v>85.62373841029796</v>
      </c>
    </row>
    <row r="48" spans="1:6" ht="12">
      <c r="A48" s="22">
        <v>39788</v>
      </c>
      <c r="B48" s="15">
        <v>9999368.469999999</v>
      </c>
      <c r="C48" s="15">
        <f t="shared" si="0"/>
        <v>9216996.259999998</v>
      </c>
      <c r="D48" s="15">
        <v>782372.21</v>
      </c>
      <c r="E48" s="16">
        <v>1587</v>
      </c>
      <c r="F48" s="15">
        <v>70.42688000720136</v>
      </c>
    </row>
    <row r="49" spans="1:6" ht="12">
      <c r="A49" s="22">
        <v>39795</v>
      </c>
      <c r="B49" s="15">
        <v>8846749.39</v>
      </c>
      <c r="C49" s="15">
        <f t="shared" si="0"/>
        <v>8211510.19</v>
      </c>
      <c r="D49" s="15">
        <v>635239.2</v>
      </c>
      <c r="E49" s="16">
        <v>1587</v>
      </c>
      <c r="F49" s="15">
        <v>57.18239265460439</v>
      </c>
    </row>
    <row r="50" spans="1:6" ht="12">
      <c r="A50" s="22">
        <v>39802</v>
      </c>
      <c r="B50" s="15">
        <v>6463324.7299999995</v>
      </c>
      <c r="C50" s="15">
        <f t="shared" si="0"/>
        <v>5952741.989999999</v>
      </c>
      <c r="D50" s="15">
        <v>510582.74</v>
      </c>
      <c r="E50" s="16">
        <v>1587</v>
      </c>
      <c r="F50" s="15">
        <v>45.96117922405257</v>
      </c>
    </row>
    <row r="51" spans="1:6" ht="12">
      <c r="A51" s="22">
        <v>39809</v>
      </c>
      <c r="B51" s="15">
        <v>9766501.37</v>
      </c>
      <c r="C51" s="15">
        <f t="shared" si="0"/>
        <v>8969173.389999999</v>
      </c>
      <c r="D51" s="15">
        <v>797327.98</v>
      </c>
      <c r="E51" s="16">
        <v>1587</v>
      </c>
      <c r="F51" s="15">
        <v>71.77315509946888</v>
      </c>
    </row>
    <row r="52" spans="1:6" ht="12">
      <c r="A52" s="22">
        <v>39816</v>
      </c>
      <c r="B52" s="15">
        <v>15080617.040000001</v>
      </c>
      <c r="C52" s="15">
        <f t="shared" si="0"/>
        <v>13914866.15</v>
      </c>
      <c r="D52" s="15">
        <v>1165750.89</v>
      </c>
      <c r="E52" s="16">
        <v>1587</v>
      </c>
      <c r="F52" s="15">
        <v>104.93751822846342</v>
      </c>
    </row>
    <row r="53" spans="1:6" ht="12">
      <c r="A53" s="22">
        <v>39823</v>
      </c>
      <c r="B53" s="15">
        <v>8607821.28</v>
      </c>
      <c r="C53" s="15">
        <f t="shared" si="0"/>
        <v>8018646.739999999</v>
      </c>
      <c r="D53" s="15">
        <v>589174.54</v>
      </c>
      <c r="E53" s="16">
        <v>1587</v>
      </c>
      <c r="F53" s="15">
        <v>53.03578539922586</v>
      </c>
    </row>
    <row r="54" spans="1:6" ht="12">
      <c r="A54" s="22">
        <v>39830</v>
      </c>
      <c r="B54" s="15">
        <v>9069797.9</v>
      </c>
      <c r="C54" s="15">
        <f t="shared" si="0"/>
        <v>8404730.780000001</v>
      </c>
      <c r="D54" s="15">
        <v>665067.12</v>
      </c>
      <c r="E54" s="16">
        <v>1587</v>
      </c>
      <c r="F54" s="15">
        <v>59.8674156089657</v>
      </c>
    </row>
    <row r="55" spans="1:6" ht="12">
      <c r="A55" s="22">
        <v>39837</v>
      </c>
      <c r="B55" s="15">
        <v>10651444.78</v>
      </c>
      <c r="C55" s="15">
        <f t="shared" si="0"/>
        <v>9919005.53</v>
      </c>
      <c r="D55" s="15">
        <v>732439.25</v>
      </c>
      <c r="E55" s="16">
        <v>1587</v>
      </c>
      <c r="F55" s="15">
        <v>65.93205959132236</v>
      </c>
    </row>
    <row r="56" spans="1:6" ht="12">
      <c r="A56" s="22">
        <v>39844</v>
      </c>
      <c r="B56" s="15">
        <v>10647768.99</v>
      </c>
      <c r="C56" s="15">
        <f t="shared" si="0"/>
        <v>9840513.57</v>
      </c>
      <c r="D56" s="15">
        <v>807255.42</v>
      </c>
      <c r="E56" s="16">
        <v>1587</v>
      </c>
      <c r="F56" s="15">
        <v>72.66679449095328</v>
      </c>
    </row>
    <row r="57" spans="1:6" ht="12">
      <c r="A57" s="22">
        <v>39851</v>
      </c>
      <c r="B57" s="15">
        <v>11754341.85</v>
      </c>
      <c r="C57" s="15">
        <f t="shared" si="0"/>
        <v>10785796.2</v>
      </c>
      <c r="D57" s="15">
        <v>968545.65</v>
      </c>
      <c r="E57" s="16">
        <v>1587</v>
      </c>
      <c r="F57" s="15">
        <v>87.18567377801783</v>
      </c>
    </row>
    <row r="58" spans="1:6" ht="12">
      <c r="A58" s="22">
        <v>39858</v>
      </c>
      <c r="B58" s="15">
        <v>14007053.159999998</v>
      </c>
      <c r="C58" s="15">
        <f t="shared" si="0"/>
        <v>12857500.749999998</v>
      </c>
      <c r="D58" s="15">
        <v>1149552.41</v>
      </c>
      <c r="E58" s="16">
        <v>1587</v>
      </c>
      <c r="F58" s="15">
        <v>103.47937798181655</v>
      </c>
    </row>
    <row r="59" spans="1:6" ht="12">
      <c r="A59" s="22">
        <v>39865</v>
      </c>
      <c r="B59" s="15">
        <v>13749710.669999998</v>
      </c>
      <c r="C59" s="15">
        <f t="shared" si="0"/>
        <v>12665684.129999999</v>
      </c>
      <c r="D59" s="15">
        <v>1084026.54</v>
      </c>
      <c r="E59" s="16">
        <v>1587</v>
      </c>
      <c r="F59" s="15">
        <v>97.58092897650552</v>
      </c>
    </row>
    <row r="60" spans="1:6" ht="12">
      <c r="A60" s="22">
        <v>39872</v>
      </c>
      <c r="B60" s="15">
        <v>12641685.64</v>
      </c>
      <c r="C60" s="15">
        <f t="shared" si="0"/>
        <v>11679321.43</v>
      </c>
      <c r="D60" s="15">
        <v>962364.21</v>
      </c>
      <c r="E60" s="16">
        <v>1587</v>
      </c>
      <c r="F60" s="15">
        <v>86.62923845530652</v>
      </c>
    </row>
    <row r="61" spans="1:6" ht="12">
      <c r="A61" s="22">
        <v>39879</v>
      </c>
      <c r="B61" s="15">
        <v>12527249.73</v>
      </c>
      <c r="C61" s="15">
        <f t="shared" si="0"/>
        <v>11485534.83</v>
      </c>
      <c r="D61" s="15">
        <v>1041714.9</v>
      </c>
      <c r="E61" s="16">
        <v>1587</v>
      </c>
      <c r="F61" s="15">
        <v>93.7721577099649</v>
      </c>
    </row>
    <row r="62" spans="1:6" ht="12">
      <c r="A62" s="22">
        <v>39886</v>
      </c>
      <c r="B62" s="15">
        <v>13735565.030000001</v>
      </c>
      <c r="C62" s="15">
        <f t="shared" si="0"/>
        <v>12695569.64</v>
      </c>
      <c r="D62" s="15">
        <v>1039995.39</v>
      </c>
      <c r="E62" s="16">
        <v>1587</v>
      </c>
      <c r="F62" s="15">
        <v>93.61737240075614</v>
      </c>
    </row>
    <row r="63" spans="1:6" ht="12">
      <c r="A63" s="22">
        <v>39893</v>
      </c>
      <c r="B63" s="15">
        <v>13414295.790000001</v>
      </c>
      <c r="C63" s="15">
        <f t="shared" si="0"/>
        <v>12348441.25</v>
      </c>
      <c r="D63" s="15">
        <v>1065854.54</v>
      </c>
      <c r="E63" s="16">
        <v>1587</v>
      </c>
      <c r="F63" s="15">
        <v>95.9451381762535</v>
      </c>
    </row>
    <row r="64" spans="1:6" ht="12">
      <c r="A64" s="22">
        <v>39900</v>
      </c>
      <c r="B64" s="15">
        <v>13286647.68</v>
      </c>
      <c r="C64" s="15">
        <f t="shared" si="0"/>
        <v>12180114.33</v>
      </c>
      <c r="D64" s="15">
        <v>1106533.35</v>
      </c>
      <c r="E64" s="16">
        <v>1587</v>
      </c>
      <c r="F64" s="15">
        <v>99.60692681609504</v>
      </c>
    </row>
    <row r="65" ht="12">
      <c r="A65" s="22"/>
    </row>
    <row r="66" spans="1:6" ht="12.75" thickBot="1">
      <c r="A66" s="3" t="s">
        <v>8</v>
      </c>
      <c r="B66" s="17">
        <f>SUM(B13:B64)</f>
        <v>732761927.6299998</v>
      </c>
      <c r="C66" s="17">
        <f>SUM(C13:C64)</f>
        <v>675693802.1</v>
      </c>
      <c r="D66" s="17">
        <f>SUM(D13:D64)</f>
        <v>57068125.530000016</v>
      </c>
      <c r="E66" s="24">
        <f>SUM(E13:E65)/COUNT(E13:E65)</f>
        <v>1587</v>
      </c>
      <c r="F66" s="17">
        <f>+D66/SUM(E13:E65)/7</f>
        <v>98.79052592492576</v>
      </c>
    </row>
    <row r="67" spans="2:4" ht="10.5" customHeight="1" thickTop="1">
      <c r="B67" s="18"/>
      <c r="C67" s="18"/>
      <c r="D67" s="18"/>
    </row>
    <row r="68" spans="1:4" s="21" customFormat="1" ht="12">
      <c r="A68" s="19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monticellogamingand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PageLayoutView="0" workbookViewId="0" topLeftCell="A1">
      <pane ySplit="11" topLeftCell="A59" activePane="bottomLeft" state="frozen"/>
      <selection pane="topLeft" activeCell="A1" sqref="A1"/>
      <selection pane="bottomLeft" activeCell="C71" sqref="C71"/>
    </sheetView>
  </sheetViews>
  <sheetFormatPr defaultColWidth="9.140625" defaultRowHeight="12.75"/>
  <cols>
    <col min="1" max="1" width="15.57421875" style="3" customWidth="1"/>
    <col min="2" max="4" width="15.57421875" style="15" customWidth="1"/>
    <col min="5" max="5" width="15.57421875" style="16" customWidth="1"/>
    <col min="6" max="6" width="15.57421875" style="15" customWidth="1"/>
  </cols>
  <sheetData>
    <row r="1" spans="1:9" ht="18">
      <c r="A1" s="35" t="s">
        <v>16</v>
      </c>
      <c r="B1" s="35"/>
      <c r="C1" s="35"/>
      <c r="D1" s="35"/>
      <c r="E1" s="35"/>
      <c r="F1" s="35"/>
      <c r="G1" s="26"/>
      <c r="H1" s="26"/>
      <c r="I1" s="26"/>
    </row>
    <row r="2" spans="1:9" ht="15">
      <c r="A2" s="36" t="s">
        <v>17</v>
      </c>
      <c r="B2" s="36"/>
      <c r="C2" s="36"/>
      <c r="D2" s="36"/>
      <c r="E2" s="36"/>
      <c r="F2" s="36"/>
      <c r="G2" s="27"/>
      <c r="H2" s="27"/>
      <c r="I2" s="27"/>
    </row>
    <row r="3" spans="1:9" s="1" customFormat="1" ht="15">
      <c r="A3" s="36" t="s">
        <v>18</v>
      </c>
      <c r="B3" s="36"/>
      <c r="C3" s="36"/>
      <c r="D3" s="36"/>
      <c r="E3" s="36"/>
      <c r="F3" s="36"/>
      <c r="G3" s="27"/>
      <c r="H3" s="27"/>
      <c r="I3" s="27"/>
    </row>
    <row r="4" spans="1:9" s="1" customFormat="1" ht="13.5">
      <c r="A4" s="42" t="s">
        <v>19</v>
      </c>
      <c r="B4" s="42"/>
      <c r="C4" s="42"/>
      <c r="D4" s="42"/>
      <c r="E4" s="42"/>
      <c r="F4" s="42"/>
      <c r="G4" s="28"/>
      <c r="H4" s="28"/>
      <c r="I4" s="28"/>
    </row>
    <row r="5" spans="1:9" s="1" customFormat="1" ht="13.5">
      <c r="A5" s="38" t="s">
        <v>20</v>
      </c>
      <c r="B5" s="38"/>
      <c r="C5" s="38"/>
      <c r="D5" s="38"/>
      <c r="E5" s="38"/>
      <c r="F5" s="38"/>
      <c r="G5" s="29"/>
      <c r="H5" s="29"/>
      <c r="I5" s="29"/>
    </row>
    <row r="6" spans="1:6" s="1" customFormat="1" ht="13.5">
      <c r="A6" s="2"/>
      <c r="B6" s="2"/>
      <c r="C6" s="2"/>
      <c r="D6" s="2"/>
      <c r="E6" s="2"/>
      <c r="F6" s="2"/>
    </row>
    <row r="7" spans="1:6" s="1" customFormat="1" ht="12">
      <c r="A7" s="3"/>
      <c r="B7" s="4"/>
      <c r="C7" s="4"/>
      <c r="D7" s="5"/>
      <c r="E7" s="6"/>
      <c r="F7" s="5"/>
    </row>
    <row r="8" spans="1:6" s="7" customFormat="1" ht="14.25" customHeight="1">
      <c r="A8" s="39" t="s">
        <v>15</v>
      </c>
      <c r="B8" s="40"/>
      <c r="C8" s="40"/>
      <c r="D8" s="40"/>
      <c r="E8" s="40"/>
      <c r="F8" s="41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1.25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1.25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">
      <c r="A13" s="22">
        <v>39179</v>
      </c>
      <c r="B13" s="15">
        <v>16177954.99</v>
      </c>
      <c r="C13" s="15">
        <f>+B13-D13</f>
        <v>14938845.21</v>
      </c>
      <c r="D13" s="15">
        <v>1239109.78</v>
      </c>
      <c r="E13" s="16">
        <v>1587</v>
      </c>
      <c r="F13" s="15">
        <v>111.54107300387074</v>
      </c>
    </row>
    <row r="14" spans="1:6" ht="12">
      <c r="A14" s="22">
        <v>39186</v>
      </c>
      <c r="B14" s="15">
        <v>16241906.169999998</v>
      </c>
      <c r="C14" s="15">
        <f aca="true" t="shared" si="0" ref="C14:C64">+B14-D14</f>
        <v>15036193.929999998</v>
      </c>
      <c r="D14" s="15">
        <v>1205712.24</v>
      </c>
      <c r="E14" s="16">
        <v>1587</v>
      </c>
      <c r="F14" s="15">
        <v>108.53472319740749</v>
      </c>
    </row>
    <row r="15" spans="1:6" ht="12">
      <c r="A15" s="22">
        <v>39193</v>
      </c>
      <c r="B15" s="15">
        <v>14487950.399999999</v>
      </c>
      <c r="C15" s="15">
        <f t="shared" si="0"/>
        <v>13438805.02</v>
      </c>
      <c r="D15" s="15">
        <v>1049145.38</v>
      </c>
      <c r="E15" s="16">
        <v>1587</v>
      </c>
      <c r="F15" s="15">
        <v>94.44102799531912</v>
      </c>
    </row>
    <row r="16" spans="1:6" ht="12">
      <c r="A16" s="22">
        <v>39200</v>
      </c>
      <c r="B16" s="15">
        <v>16339499.860000003</v>
      </c>
      <c r="C16" s="15">
        <f t="shared" si="0"/>
        <v>15067903.650000002</v>
      </c>
      <c r="D16" s="15">
        <v>1271596.21</v>
      </c>
      <c r="E16" s="16">
        <v>1587</v>
      </c>
      <c r="F16" s="15">
        <v>114.4654073273922</v>
      </c>
    </row>
    <row r="17" spans="1:6" ht="12">
      <c r="A17" s="22">
        <v>39207</v>
      </c>
      <c r="B17" s="15">
        <v>15665904.68</v>
      </c>
      <c r="C17" s="15">
        <f t="shared" si="0"/>
        <v>14514720.39</v>
      </c>
      <c r="D17" s="15">
        <v>1151184.29</v>
      </c>
      <c r="E17" s="16">
        <v>1587</v>
      </c>
      <c r="F17" s="15">
        <v>103.62627509226753</v>
      </c>
    </row>
    <row r="18" spans="1:6" ht="12">
      <c r="A18" s="22">
        <v>39214</v>
      </c>
      <c r="B18" s="15">
        <v>15714904.77</v>
      </c>
      <c r="C18" s="15">
        <f t="shared" si="0"/>
        <v>14424295.469999999</v>
      </c>
      <c r="D18" s="15">
        <v>1290609.3</v>
      </c>
      <c r="E18" s="16">
        <v>1587</v>
      </c>
      <c r="F18" s="15">
        <v>116.17691061301647</v>
      </c>
    </row>
    <row r="19" spans="1:6" ht="12">
      <c r="A19" s="22">
        <v>39221</v>
      </c>
      <c r="B19" s="15">
        <v>17139812.52</v>
      </c>
      <c r="C19" s="15">
        <f t="shared" si="0"/>
        <v>15869714.27</v>
      </c>
      <c r="D19" s="15">
        <v>1270098.25</v>
      </c>
      <c r="E19" s="16">
        <v>1587</v>
      </c>
      <c r="F19" s="15">
        <v>114.3305653074084</v>
      </c>
    </row>
    <row r="20" spans="1:6" ht="12">
      <c r="A20" s="22">
        <v>39228</v>
      </c>
      <c r="B20" s="15">
        <v>16428165.36</v>
      </c>
      <c r="C20" s="15">
        <f t="shared" si="0"/>
        <v>15315843.129999999</v>
      </c>
      <c r="D20" s="15">
        <v>1112322.23</v>
      </c>
      <c r="E20" s="16">
        <v>1587</v>
      </c>
      <c r="F20" s="15">
        <v>100.1280250247547</v>
      </c>
    </row>
    <row r="21" spans="1:6" ht="12">
      <c r="A21" s="22">
        <v>39235</v>
      </c>
      <c r="B21" s="15">
        <v>19229474.34</v>
      </c>
      <c r="C21" s="15">
        <f t="shared" si="0"/>
        <v>17680864.58</v>
      </c>
      <c r="D21" s="15">
        <v>1548609.76</v>
      </c>
      <c r="E21" s="16">
        <v>1587</v>
      </c>
      <c r="F21" s="15">
        <v>139.40136465928524</v>
      </c>
    </row>
    <row r="22" spans="1:6" ht="12">
      <c r="A22" s="22">
        <v>39242</v>
      </c>
      <c r="B22" s="15">
        <v>16936739.299999997</v>
      </c>
      <c r="C22" s="15">
        <f t="shared" si="0"/>
        <v>15640116.509999998</v>
      </c>
      <c r="D22" s="15">
        <v>1296622.79</v>
      </c>
      <c r="E22" s="16">
        <v>1587</v>
      </c>
      <c r="F22" s="15">
        <v>116.71822756323702</v>
      </c>
    </row>
    <row r="23" spans="1:6" ht="12">
      <c r="A23" s="22">
        <v>39249</v>
      </c>
      <c r="B23" s="15">
        <v>17090111.3</v>
      </c>
      <c r="C23" s="15">
        <f t="shared" si="0"/>
        <v>15742386.09</v>
      </c>
      <c r="D23" s="15">
        <v>1347725.21</v>
      </c>
      <c r="E23" s="16">
        <v>1587</v>
      </c>
      <c r="F23" s="15">
        <v>121.31831938068233</v>
      </c>
    </row>
    <row r="24" spans="1:6" ht="12">
      <c r="A24" s="22">
        <v>39256</v>
      </c>
      <c r="B24" s="15">
        <v>16790303</v>
      </c>
      <c r="C24" s="15">
        <f t="shared" si="0"/>
        <v>15555032.31</v>
      </c>
      <c r="D24" s="15">
        <v>1235270.69</v>
      </c>
      <c r="E24" s="16">
        <v>1587</v>
      </c>
      <c r="F24" s="15">
        <v>111.19548924295617</v>
      </c>
    </row>
    <row r="25" spans="1:6" ht="12">
      <c r="A25" s="22">
        <v>39263</v>
      </c>
      <c r="B25" s="15">
        <v>18726017.029999997</v>
      </c>
      <c r="C25" s="15">
        <f t="shared" si="0"/>
        <v>17290388.33</v>
      </c>
      <c r="D25" s="15">
        <v>1435628.7</v>
      </c>
      <c r="E25" s="16">
        <v>1587</v>
      </c>
      <c r="F25" s="15">
        <v>129.23113691601407</v>
      </c>
    </row>
    <row r="26" spans="1:6" ht="12">
      <c r="A26" s="22">
        <v>39270</v>
      </c>
      <c r="B26" s="15">
        <v>24123097.19</v>
      </c>
      <c r="C26" s="15">
        <f t="shared" si="0"/>
        <v>22249916.14</v>
      </c>
      <c r="D26" s="15">
        <v>1873181.05</v>
      </c>
      <c r="E26" s="16">
        <v>1587</v>
      </c>
      <c r="F26" s="15">
        <v>168.61833198307679</v>
      </c>
    </row>
    <row r="27" spans="1:6" ht="12">
      <c r="A27" s="22">
        <v>39277</v>
      </c>
      <c r="B27" s="15">
        <v>19045471.150000002</v>
      </c>
      <c r="C27" s="15">
        <f t="shared" si="0"/>
        <v>17591863.85</v>
      </c>
      <c r="D27" s="15">
        <v>1453607.3</v>
      </c>
      <c r="E27" s="16">
        <v>1587</v>
      </c>
      <c r="F27" s="15">
        <v>130.84951840849763</v>
      </c>
    </row>
    <row r="28" spans="1:6" ht="12">
      <c r="A28" s="22">
        <v>39284</v>
      </c>
      <c r="B28" s="15">
        <v>18598392.23</v>
      </c>
      <c r="C28" s="15">
        <f t="shared" si="0"/>
        <v>17045386.76</v>
      </c>
      <c r="D28" s="15">
        <v>1553005.47</v>
      </c>
      <c r="E28" s="16">
        <v>1587</v>
      </c>
      <c r="F28" s="15">
        <v>139.79705374021066</v>
      </c>
    </row>
    <row r="29" spans="1:6" ht="12">
      <c r="A29" s="22">
        <v>39291</v>
      </c>
      <c r="B29" s="15">
        <v>17878808.58</v>
      </c>
      <c r="C29" s="15">
        <f t="shared" si="0"/>
        <v>16445812.049999999</v>
      </c>
      <c r="D29" s="15">
        <v>1432996.53</v>
      </c>
      <c r="E29" s="16">
        <v>1587</v>
      </c>
      <c r="F29" s="15">
        <v>128.9941965973535</v>
      </c>
    </row>
    <row r="30" spans="1:6" ht="12">
      <c r="A30" s="22">
        <v>39298</v>
      </c>
      <c r="B30" s="15">
        <v>18013487.81</v>
      </c>
      <c r="C30" s="15">
        <f t="shared" si="0"/>
        <v>16619873.089999998</v>
      </c>
      <c r="D30" s="15">
        <v>1393614.72</v>
      </c>
      <c r="E30" s="16">
        <v>1587</v>
      </c>
      <c r="F30" s="15">
        <v>125.4491601404267</v>
      </c>
    </row>
    <row r="31" spans="1:6" ht="12">
      <c r="A31" s="22">
        <v>39305</v>
      </c>
      <c r="B31" s="15">
        <v>19361659.61</v>
      </c>
      <c r="C31" s="15">
        <f t="shared" si="0"/>
        <v>17817804.9</v>
      </c>
      <c r="D31" s="15">
        <v>1543854.71</v>
      </c>
      <c r="E31" s="16">
        <v>1587</v>
      </c>
      <c r="F31" s="15">
        <v>138.97332883247816</v>
      </c>
    </row>
    <row r="32" spans="1:6" ht="12">
      <c r="A32" s="22">
        <v>39312</v>
      </c>
      <c r="B32" s="15">
        <v>19179922.39</v>
      </c>
      <c r="C32" s="15">
        <f t="shared" si="0"/>
        <v>17668871.29</v>
      </c>
      <c r="D32" s="15">
        <v>1511051.1</v>
      </c>
      <c r="E32" s="16">
        <v>1587</v>
      </c>
      <c r="F32" s="15">
        <v>136.02044288414797</v>
      </c>
    </row>
    <row r="33" spans="1:6" ht="12">
      <c r="A33" s="22">
        <v>39319</v>
      </c>
      <c r="B33" s="15">
        <v>19154163.02</v>
      </c>
      <c r="C33" s="15">
        <f t="shared" si="0"/>
        <v>17691384.68</v>
      </c>
      <c r="D33" s="15">
        <v>1462778.34</v>
      </c>
      <c r="E33" s="16">
        <v>1587</v>
      </c>
      <c r="F33" s="15">
        <v>131.67506886308396</v>
      </c>
    </row>
    <row r="34" spans="1:6" ht="12">
      <c r="A34" s="22">
        <v>39326</v>
      </c>
      <c r="B34" s="15">
        <v>19599574.23</v>
      </c>
      <c r="C34" s="15">
        <f t="shared" si="0"/>
        <v>18196081.7</v>
      </c>
      <c r="D34" s="15">
        <v>1403492.53</v>
      </c>
      <c r="E34" s="16">
        <v>1587</v>
      </c>
      <c r="F34" s="15">
        <v>126.33833198307678</v>
      </c>
    </row>
    <row r="35" spans="1:6" ht="12">
      <c r="A35" s="22">
        <v>39333</v>
      </c>
      <c r="B35" s="15">
        <v>19730270.25</v>
      </c>
      <c r="C35" s="15">
        <f t="shared" si="0"/>
        <v>18162056.75</v>
      </c>
      <c r="D35" s="15">
        <v>1568213.5</v>
      </c>
      <c r="E35" s="16">
        <v>1587</v>
      </c>
      <c r="F35" s="15">
        <v>141.16603654694393</v>
      </c>
    </row>
    <row r="36" spans="1:6" ht="12">
      <c r="A36" s="22">
        <v>39340</v>
      </c>
      <c r="B36" s="15">
        <v>17827866.459999997</v>
      </c>
      <c r="C36" s="15">
        <f t="shared" si="0"/>
        <v>16456829.899999997</v>
      </c>
      <c r="D36" s="15">
        <v>1371036.56</v>
      </c>
      <c r="E36" s="16">
        <v>1587</v>
      </c>
      <c r="F36" s="15">
        <v>123.41673958052033</v>
      </c>
    </row>
    <row r="37" spans="1:6" ht="12">
      <c r="A37" s="22">
        <v>39347</v>
      </c>
      <c r="B37" s="15">
        <v>16393706.760000002</v>
      </c>
      <c r="C37" s="15">
        <f t="shared" si="0"/>
        <v>15188524.320000002</v>
      </c>
      <c r="D37" s="15">
        <v>1205182.44</v>
      </c>
      <c r="E37" s="16">
        <v>1587</v>
      </c>
      <c r="F37" s="15">
        <v>108.48703213610585</v>
      </c>
    </row>
    <row r="38" spans="1:6" ht="12">
      <c r="A38" s="22">
        <v>39354</v>
      </c>
      <c r="B38" s="15">
        <v>16740361.66</v>
      </c>
      <c r="C38" s="15">
        <f t="shared" si="0"/>
        <v>15480917.41</v>
      </c>
      <c r="D38" s="15">
        <v>1259444.25</v>
      </c>
      <c r="E38" s="16">
        <v>1587</v>
      </c>
      <c r="F38" s="15">
        <v>113.37152308938701</v>
      </c>
    </row>
    <row r="39" spans="1:6" ht="12">
      <c r="A39" s="22">
        <v>39361</v>
      </c>
      <c r="B39" s="15">
        <v>16832580.84</v>
      </c>
      <c r="C39" s="15">
        <f t="shared" si="0"/>
        <v>15484978.98</v>
      </c>
      <c r="D39" s="15">
        <v>1347601.86</v>
      </c>
      <c r="E39" s="16">
        <v>1587</v>
      </c>
      <c r="F39" s="15">
        <v>121.30721577099648</v>
      </c>
    </row>
    <row r="40" spans="1:6" ht="12">
      <c r="A40" s="22">
        <v>39368</v>
      </c>
      <c r="B40" s="15">
        <v>17846085.669999998</v>
      </c>
      <c r="C40" s="15">
        <f t="shared" si="0"/>
        <v>16454047.179999998</v>
      </c>
      <c r="D40" s="15">
        <v>1392038.49</v>
      </c>
      <c r="E40" s="16">
        <v>1587</v>
      </c>
      <c r="F40" s="15">
        <v>125.30727248177156</v>
      </c>
    </row>
    <row r="41" spans="1:6" ht="12">
      <c r="A41" s="22">
        <v>39375</v>
      </c>
      <c r="B41" s="15">
        <v>16086678.309999999</v>
      </c>
      <c r="C41" s="15">
        <f t="shared" si="0"/>
        <v>14860540.239999998</v>
      </c>
      <c r="D41" s="15">
        <v>1226138.07</v>
      </c>
      <c r="E41" s="16">
        <v>1587</v>
      </c>
      <c r="F41" s="15">
        <v>110.37339724547665</v>
      </c>
    </row>
    <row r="42" spans="1:6" ht="12">
      <c r="A42" s="22">
        <v>39382</v>
      </c>
      <c r="B42" s="15">
        <v>15047042.36</v>
      </c>
      <c r="C42" s="15">
        <f t="shared" si="0"/>
        <v>13881629.58</v>
      </c>
      <c r="D42" s="15">
        <v>1165412.78</v>
      </c>
      <c r="E42" s="16">
        <v>1587</v>
      </c>
      <c r="F42" s="15">
        <v>104.90708254568368</v>
      </c>
    </row>
    <row r="43" spans="1:6" ht="12">
      <c r="A43" s="22">
        <v>39389</v>
      </c>
      <c r="B43" s="15">
        <v>14103650.479999999</v>
      </c>
      <c r="C43" s="15">
        <f t="shared" si="0"/>
        <v>12991912.829999998</v>
      </c>
      <c r="D43" s="15">
        <v>1111737.65</v>
      </c>
      <c r="E43" s="16">
        <v>1587</v>
      </c>
      <c r="F43" s="15">
        <v>100.07540282653706</v>
      </c>
    </row>
    <row r="44" spans="1:6" ht="12">
      <c r="A44" s="22">
        <v>39396</v>
      </c>
      <c r="B44" s="15">
        <v>13943741.65</v>
      </c>
      <c r="C44" s="15">
        <f t="shared" si="0"/>
        <v>12853670.97</v>
      </c>
      <c r="D44" s="15">
        <v>1090070.68</v>
      </c>
      <c r="E44" s="16">
        <v>1587</v>
      </c>
      <c r="F44" s="15">
        <v>98.12500495094069</v>
      </c>
    </row>
    <row r="45" spans="1:6" ht="12">
      <c r="A45" s="22">
        <v>39403</v>
      </c>
      <c r="B45" s="15">
        <v>13553136.4</v>
      </c>
      <c r="C45" s="15">
        <f t="shared" si="0"/>
        <v>12520323.120000001</v>
      </c>
      <c r="D45" s="15">
        <v>1032813.28</v>
      </c>
      <c r="E45" s="16">
        <v>1587</v>
      </c>
      <c r="F45" s="15">
        <v>92.97085966333604</v>
      </c>
    </row>
    <row r="46" spans="1:6" ht="12">
      <c r="A46" s="22">
        <v>39410</v>
      </c>
      <c r="B46" s="15">
        <v>13176453.93</v>
      </c>
      <c r="C46" s="15">
        <f t="shared" si="0"/>
        <v>12166640.57</v>
      </c>
      <c r="D46" s="15">
        <v>1009813.36</v>
      </c>
      <c r="E46" s="16">
        <v>1587</v>
      </c>
      <c r="F46" s="15">
        <v>90.90047348996309</v>
      </c>
    </row>
    <row r="47" spans="1:6" ht="12">
      <c r="A47" s="22">
        <v>39417</v>
      </c>
      <c r="B47" s="15">
        <v>12433643.68</v>
      </c>
      <c r="C47" s="15">
        <f t="shared" si="0"/>
        <v>11560288.12</v>
      </c>
      <c r="D47" s="15">
        <v>873355.56</v>
      </c>
      <c r="E47" s="16">
        <v>1587</v>
      </c>
      <c r="F47" s="15">
        <v>78.61693761814745</v>
      </c>
    </row>
    <row r="48" spans="1:6" ht="12">
      <c r="A48" s="22">
        <v>39424</v>
      </c>
      <c r="B48" s="15">
        <v>8636778.309999999</v>
      </c>
      <c r="C48" s="15">
        <f t="shared" si="0"/>
        <v>8027369.739999998</v>
      </c>
      <c r="D48" s="15">
        <v>609408.57</v>
      </c>
      <c r="E48" s="16">
        <v>1587</v>
      </c>
      <c r="F48" s="15">
        <v>54.857194166891716</v>
      </c>
    </row>
    <row r="49" spans="1:6" ht="12">
      <c r="A49" s="22">
        <v>39431</v>
      </c>
      <c r="B49" s="15">
        <v>7946934.49</v>
      </c>
      <c r="C49" s="15">
        <f t="shared" si="0"/>
        <v>7362991.600000001</v>
      </c>
      <c r="D49" s="15">
        <v>583942.89</v>
      </c>
      <c r="E49" s="16">
        <v>1587</v>
      </c>
      <c r="F49" s="15">
        <v>52.56484742100999</v>
      </c>
    </row>
    <row r="50" spans="1:6" ht="12">
      <c r="A50" s="22">
        <v>39438</v>
      </c>
      <c r="B50" s="15">
        <v>8745777.370000001</v>
      </c>
      <c r="C50" s="15">
        <f t="shared" si="0"/>
        <v>8091268.930000002</v>
      </c>
      <c r="D50" s="15">
        <v>654508.44</v>
      </c>
      <c r="E50" s="16">
        <v>1587</v>
      </c>
      <c r="F50" s="15">
        <v>58.91695382122603</v>
      </c>
    </row>
    <row r="51" spans="1:6" ht="12">
      <c r="A51" s="22">
        <v>39445</v>
      </c>
      <c r="B51" s="15">
        <v>14630411.82</v>
      </c>
      <c r="C51" s="15">
        <f t="shared" si="0"/>
        <v>13439078.14</v>
      </c>
      <c r="D51" s="15">
        <v>1191333.68</v>
      </c>
      <c r="E51" s="16">
        <v>1587</v>
      </c>
      <c r="F51" s="15">
        <v>107.24040687730668</v>
      </c>
    </row>
    <row r="52" spans="1:6" ht="12">
      <c r="A52" s="22">
        <v>39452</v>
      </c>
      <c r="B52" s="15">
        <v>14661304.06</v>
      </c>
      <c r="C52" s="15">
        <f t="shared" si="0"/>
        <v>13499210.32</v>
      </c>
      <c r="D52" s="15">
        <v>1162093.74</v>
      </c>
      <c r="E52" s="16">
        <v>1587</v>
      </c>
      <c r="F52" s="15">
        <v>104.60831217931407</v>
      </c>
    </row>
    <row r="53" spans="1:6" ht="12">
      <c r="A53" s="22">
        <v>39459</v>
      </c>
      <c r="B53" s="15">
        <v>14658759.77</v>
      </c>
      <c r="C53" s="15">
        <f t="shared" si="0"/>
        <v>13581516.11</v>
      </c>
      <c r="D53" s="15">
        <v>1077243.66</v>
      </c>
      <c r="E53" s="16">
        <v>1587</v>
      </c>
      <c r="F53" s="15">
        <v>96.97035376721578</v>
      </c>
    </row>
    <row r="54" spans="1:6" ht="12">
      <c r="A54" s="22">
        <v>39466</v>
      </c>
      <c r="B54" s="15">
        <v>11596518.809999999</v>
      </c>
      <c r="C54" s="15">
        <f t="shared" si="0"/>
        <v>10749745.889999999</v>
      </c>
      <c r="D54" s="15">
        <v>846772.92</v>
      </c>
      <c r="E54" s="16">
        <v>1587</v>
      </c>
      <c r="F54" s="15">
        <v>76.22404536862003</v>
      </c>
    </row>
    <row r="55" spans="1:6" ht="12">
      <c r="A55" s="22">
        <v>39473</v>
      </c>
      <c r="B55" s="15">
        <v>13000842.760000002</v>
      </c>
      <c r="C55" s="15">
        <f t="shared" si="0"/>
        <v>11903863.760000002</v>
      </c>
      <c r="D55" s="15">
        <v>1096979</v>
      </c>
      <c r="E55" s="16">
        <v>1587</v>
      </c>
      <c r="F55" s="15">
        <v>98.74687190566208</v>
      </c>
    </row>
    <row r="56" spans="1:6" ht="12">
      <c r="A56" s="22">
        <v>39480</v>
      </c>
      <c r="B56" s="15">
        <v>11928521.549999999</v>
      </c>
      <c r="C56" s="15">
        <f t="shared" si="0"/>
        <v>11044342.669999998</v>
      </c>
      <c r="D56" s="15">
        <v>884178.88</v>
      </c>
      <c r="E56" s="16">
        <v>1587</v>
      </c>
      <c r="F56" s="15">
        <v>79.5912215320911</v>
      </c>
    </row>
    <row r="57" spans="1:6" ht="12">
      <c r="A57" s="22">
        <v>39487</v>
      </c>
      <c r="B57" s="15">
        <v>13227921.02</v>
      </c>
      <c r="C57" s="15">
        <f t="shared" si="0"/>
        <v>12286107.29</v>
      </c>
      <c r="D57" s="15">
        <v>941813.73</v>
      </c>
      <c r="E57" s="16">
        <v>1587</v>
      </c>
      <c r="F57" s="15">
        <v>84.77934377531732</v>
      </c>
    </row>
    <row r="58" spans="1:6" ht="12">
      <c r="A58" s="22">
        <v>39494</v>
      </c>
      <c r="B58" s="15">
        <v>12477165.84</v>
      </c>
      <c r="C58" s="15">
        <f t="shared" si="0"/>
        <v>11528832.81</v>
      </c>
      <c r="D58" s="15">
        <v>948333.03</v>
      </c>
      <c r="E58" s="16">
        <v>1587</v>
      </c>
      <c r="F58" s="15">
        <v>85.36619227653254</v>
      </c>
    </row>
    <row r="59" spans="1:6" ht="12">
      <c r="A59" s="22">
        <v>39501</v>
      </c>
      <c r="B59" s="15">
        <v>13076723.280000001</v>
      </c>
      <c r="C59" s="15">
        <f t="shared" si="0"/>
        <v>12090471.13</v>
      </c>
      <c r="D59" s="15">
        <v>986252.15</v>
      </c>
      <c r="E59" s="16">
        <v>1587</v>
      </c>
      <c r="F59" s="15">
        <v>88.77956161670717</v>
      </c>
    </row>
    <row r="60" spans="1:6" ht="12">
      <c r="A60" s="22">
        <v>39508</v>
      </c>
      <c r="B60" s="15">
        <v>13747164.790000001</v>
      </c>
      <c r="C60" s="15">
        <f t="shared" si="0"/>
        <v>12679617.110000001</v>
      </c>
      <c r="D60" s="15">
        <v>1067547.68</v>
      </c>
      <c r="E60" s="16">
        <v>1587</v>
      </c>
      <c r="F60" s="15">
        <v>96.09754973444954</v>
      </c>
    </row>
    <row r="61" spans="1:6" ht="12">
      <c r="A61" s="22">
        <v>39515</v>
      </c>
      <c r="B61" s="15">
        <v>13949266.790000001</v>
      </c>
      <c r="C61" s="15">
        <f t="shared" si="0"/>
        <v>12896332.71</v>
      </c>
      <c r="D61" s="15">
        <v>1052934.08</v>
      </c>
      <c r="E61" s="16">
        <v>1587</v>
      </c>
      <c r="F61" s="15">
        <v>94.78207579440094</v>
      </c>
    </row>
    <row r="62" spans="1:6" ht="12">
      <c r="A62" s="22">
        <v>39522</v>
      </c>
      <c r="B62" s="15">
        <v>14792333.42</v>
      </c>
      <c r="C62" s="15">
        <f t="shared" si="0"/>
        <v>13581540.01</v>
      </c>
      <c r="D62" s="15">
        <v>1210793.41</v>
      </c>
      <c r="E62" s="16">
        <v>1587</v>
      </c>
      <c r="F62" s="15">
        <v>108.99211540192638</v>
      </c>
    </row>
    <row r="63" spans="1:6" ht="12">
      <c r="A63" s="22">
        <v>39529</v>
      </c>
      <c r="B63" s="15">
        <v>12940238.850000001</v>
      </c>
      <c r="C63" s="15">
        <f t="shared" si="0"/>
        <v>11974923.060000002</v>
      </c>
      <c r="D63" s="15">
        <v>965315.79</v>
      </c>
      <c r="E63" s="16">
        <v>1587</v>
      </c>
      <c r="F63" s="15">
        <v>86.89493113691601</v>
      </c>
    </row>
    <row r="64" spans="1:6" ht="12">
      <c r="A64" s="22">
        <v>39536</v>
      </c>
      <c r="B64" s="15">
        <v>14394115.170000002</v>
      </c>
      <c r="C64" s="15">
        <f t="shared" si="0"/>
        <v>13311609.400000002</v>
      </c>
      <c r="D64" s="15">
        <v>1082505.77</v>
      </c>
      <c r="E64" s="16">
        <v>1587</v>
      </c>
      <c r="F64" s="15">
        <v>97.44403366639662</v>
      </c>
    </row>
    <row r="65" ht="12">
      <c r="A65" s="22"/>
    </row>
    <row r="66" spans="1:6" ht="12.75" thickBot="1">
      <c r="A66" s="3" t="s">
        <v>8</v>
      </c>
      <c r="B66" s="17">
        <f>SUM(B13:B64)</f>
        <v>810049316.4799995</v>
      </c>
      <c r="C66" s="17">
        <f>SUM(C13:C64)</f>
        <v>747953283.9999999</v>
      </c>
      <c r="D66" s="17">
        <f>SUM(D13:D64)</f>
        <v>62096032.48</v>
      </c>
      <c r="E66" s="24">
        <f>SUM(E13:E64)/COUNT(E13:E64)</f>
        <v>1587</v>
      </c>
      <c r="F66" s="17">
        <f>+D66/SUM(E13:E64)/7</f>
        <v>107.4943262912261</v>
      </c>
    </row>
    <row r="67" spans="2:4" ht="10.5" customHeight="1" thickTop="1">
      <c r="B67" s="18"/>
      <c r="C67" s="18"/>
      <c r="D67" s="18"/>
    </row>
    <row r="68" spans="1:4" s="21" customFormat="1" ht="12">
      <c r="A68" s="19"/>
      <c r="B68" s="20"/>
      <c r="C68" s="20"/>
      <c r="D68" s="20"/>
    </row>
    <row r="69" ht="12">
      <c r="A69" s="3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monticellogamingand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pane ySplit="11" topLeftCell="A55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15.57421875" style="22" customWidth="1"/>
    <col min="2" max="4" width="15.57421875" style="15" customWidth="1"/>
    <col min="5" max="5" width="15.57421875" style="16" customWidth="1"/>
    <col min="6" max="6" width="15.57421875" style="15" customWidth="1"/>
  </cols>
  <sheetData>
    <row r="1" spans="1:9" ht="18">
      <c r="A1" s="35" t="s">
        <v>16</v>
      </c>
      <c r="B1" s="35"/>
      <c r="C1" s="35"/>
      <c r="D1" s="35"/>
      <c r="E1" s="35"/>
      <c r="F1" s="35"/>
      <c r="G1" s="26"/>
      <c r="H1" s="26"/>
      <c r="I1" s="26"/>
    </row>
    <row r="2" spans="1:9" ht="15">
      <c r="A2" s="36" t="s">
        <v>17</v>
      </c>
      <c r="B2" s="36"/>
      <c r="C2" s="36"/>
      <c r="D2" s="36"/>
      <c r="E2" s="36"/>
      <c r="F2" s="36"/>
      <c r="G2" s="27"/>
      <c r="H2" s="27"/>
      <c r="I2" s="27"/>
    </row>
    <row r="3" spans="1:9" s="1" customFormat="1" ht="15">
      <c r="A3" s="36" t="s">
        <v>18</v>
      </c>
      <c r="B3" s="36"/>
      <c r="C3" s="36"/>
      <c r="D3" s="36"/>
      <c r="E3" s="36"/>
      <c r="F3" s="36"/>
      <c r="G3" s="27"/>
      <c r="H3" s="27"/>
      <c r="I3" s="27"/>
    </row>
    <row r="4" spans="1:9" s="1" customFormat="1" ht="13.5">
      <c r="A4" s="42" t="s">
        <v>19</v>
      </c>
      <c r="B4" s="42"/>
      <c r="C4" s="42"/>
      <c r="D4" s="42"/>
      <c r="E4" s="42"/>
      <c r="F4" s="42"/>
      <c r="G4" s="28"/>
      <c r="H4" s="28"/>
      <c r="I4" s="28"/>
    </row>
    <row r="5" spans="1:9" s="1" customFormat="1" ht="13.5">
      <c r="A5" s="38" t="s">
        <v>20</v>
      </c>
      <c r="B5" s="38"/>
      <c r="C5" s="38"/>
      <c r="D5" s="38"/>
      <c r="E5" s="38"/>
      <c r="F5" s="38"/>
      <c r="G5" s="29"/>
      <c r="H5" s="29"/>
      <c r="I5" s="29"/>
    </row>
    <row r="6" spans="1:6" s="1" customFormat="1" ht="13.5">
      <c r="A6" s="31"/>
      <c r="B6" s="2"/>
      <c r="C6" s="2"/>
      <c r="D6" s="2"/>
      <c r="E6" s="2"/>
      <c r="F6" s="2"/>
    </row>
    <row r="7" spans="1:6" s="1" customFormat="1" ht="12">
      <c r="A7" s="22"/>
      <c r="B7" s="4"/>
      <c r="C7" s="4"/>
      <c r="D7" s="5"/>
      <c r="E7" s="6"/>
      <c r="F7" s="5"/>
    </row>
    <row r="8" spans="1:6" s="7" customFormat="1" ht="14.25" customHeight="1">
      <c r="A8" s="39" t="s">
        <v>14</v>
      </c>
      <c r="B8" s="40"/>
      <c r="C8" s="40"/>
      <c r="D8" s="40"/>
      <c r="E8" s="40"/>
      <c r="F8" s="41"/>
    </row>
    <row r="9" spans="1:6" s="1" customFormat="1" ht="9" customHeight="1">
      <c r="A9" s="22"/>
      <c r="B9" s="4"/>
      <c r="C9" s="4"/>
      <c r="D9" s="5"/>
      <c r="E9" s="6"/>
      <c r="F9" s="5"/>
    </row>
    <row r="10" spans="1:6" s="12" customFormat="1" ht="11.25">
      <c r="A10" s="32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1.25">
      <c r="A11" s="3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">
      <c r="A13" s="22">
        <v>38815</v>
      </c>
      <c r="B13" s="15">
        <v>19074553.79</v>
      </c>
      <c r="C13" s="15">
        <f aca="true" t="shared" si="0" ref="C13:C64">+B13-D13</f>
        <v>17586697.669999998</v>
      </c>
      <c r="D13" s="15">
        <v>1487856.12</v>
      </c>
      <c r="E13" s="16">
        <v>1576</v>
      </c>
      <c r="F13" s="15">
        <v>134.86730601885426</v>
      </c>
    </row>
    <row r="14" spans="1:6" ht="12">
      <c r="A14" s="22">
        <v>38822</v>
      </c>
      <c r="B14" s="15">
        <v>17972070.08</v>
      </c>
      <c r="C14" s="15">
        <f t="shared" si="0"/>
        <v>16607602.239999998</v>
      </c>
      <c r="D14" s="15">
        <v>1364467.84</v>
      </c>
      <c r="E14" s="16">
        <v>1576</v>
      </c>
      <c r="F14" s="15">
        <v>123.68272661348801</v>
      </c>
    </row>
    <row r="15" spans="1:6" ht="12">
      <c r="A15" s="22">
        <v>38829</v>
      </c>
      <c r="B15" s="15">
        <v>19192984.330000002</v>
      </c>
      <c r="C15" s="15">
        <f t="shared" si="0"/>
        <v>17774967.040000003</v>
      </c>
      <c r="D15" s="15">
        <v>1418017.29</v>
      </c>
      <c r="E15" s="16">
        <v>1576</v>
      </c>
      <c r="F15" s="15">
        <v>128.53673767222622</v>
      </c>
    </row>
    <row r="16" spans="1:6" ht="12">
      <c r="A16" s="22">
        <v>38836</v>
      </c>
      <c r="B16" s="15">
        <v>19910679.68</v>
      </c>
      <c r="C16" s="15">
        <f t="shared" si="0"/>
        <v>18382088.79</v>
      </c>
      <c r="D16" s="15">
        <v>1528590.89</v>
      </c>
      <c r="E16" s="16">
        <v>1576</v>
      </c>
      <c r="F16" s="15">
        <v>138.5597253444525</v>
      </c>
    </row>
    <row r="17" spans="1:6" ht="12">
      <c r="A17" s="22">
        <v>38843</v>
      </c>
      <c r="B17" s="15">
        <v>19223136.29</v>
      </c>
      <c r="C17" s="15">
        <f t="shared" si="0"/>
        <v>17621301.32</v>
      </c>
      <c r="D17" s="15">
        <v>1601834.97</v>
      </c>
      <c r="E17" s="16">
        <v>1576</v>
      </c>
      <c r="F17" s="15">
        <v>145.19896392313274</v>
      </c>
    </row>
    <row r="18" spans="1:6" ht="12">
      <c r="A18" s="22">
        <v>38850</v>
      </c>
      <c r="B18" s="15">
        <v>19345318.119999997</v>
      </c>
      <c r="C18" s="15">
        <f t="shared" si="0"/>
        <v>17908763.659999996</v>
      </c>
      <c r="D18" s="15">
        <v>1436554.46</v>
      </c>
      <c r="E18" s="16">
        <v>1576</v>
      </c>
      <c r="F18" s="15">
        <v>130.21704677302392</v>
      </c>
    </row>
    <row r="19" spans="1:6" ht="12">
      <c r="A19" s="22">
        <v>38857</v>
      </c>
      <c r="B19" s="15">
        <v>20764238.43</v>
      </c>
      <c r="C19" s="15">
        <f t="shared" si="0"/>
        <v>19124429.97</v>
      </c>
      <c r="D19" s="15">
        <v>1639808.46</v>
      </c>
      <c r="E19" s="16">
        <v>1576</v>
      </c>
      <c r="F19" s="15">
        <v>148.64108593183465</v>
      </c>
    </row>
    <row r="20" spans="1:6" ht="12">
      <c r="A20" s="22">
        <v>38864</v>
      </c>
      <c r="B20" s="15">
        <v>19691834.1</v>
      </c>
      <c r="C20" s="15">
        <f t="shared" si="0"/>
        <v>18195972.720000003</v>
      </c>
      <c r="D20" s="15">
        <v>1495861.38</v>
      </c>
      <c r="E20" s="16">
        <v>1576</v>
      </c>
      <c r="F20" s="15">
        <v>135.59294597534443</v>
      </c>
    </row>
    <row r="21" spans="1:6" ht="12">
      <c r="A21" s="22">
        <v>38871</v>
      </c>
      <c r="B21" s="15">
        <v>23154046.29</v>
      </c>
      <c r="C21" s="15">
        <f t="shared" si="0"/>
        <v>21259327.05</v>
      </c>
      <c r="D21" s="15">
        <v>1894719.24</v>
      </c>
      <c r="E21" s="16">
        <v>1576</v>
      </c>
      <c r="F21" s="15">
        <v>171.7475743292241</v>
      </c>
    </row>
    <row r="22" spans="1:6" ht="12">
      <c r="A22" s="22">
        <v>38878</v>
      </c>
      <c r="B22" s="15">
        <v>21137402.05</v>
      </c>
      <c r="C22" s="15">
        <f t="shared" si="0"/>
        <v>19493867.28</v>
      </c>
      <c r="D22" s="15">
        <v>1643534.77</v>
      </c>
      <c r="E22" s="16">
        <v>1576</v>
      </c>
      <c r="F22" s="15">
        <v>148.97885877447428</v>
      </c>
    </row>
    <row r="23" spans="1:6" ht="12">
      <c r="A23" s="22">
        <v>38885</v>
      </c>
      <c r="B23" s="15">
        <v>18878831.1</v>
      </c>
      <c r="C23" s="15">
        <f t="shared" si="0"/>
        <v>17497631.330000002</v>
      </c>
      <c r="D23" s="15">
        <v>1381199.77</v>
      </c>
      <c r="E23" s="16">
        <v>1576</v>
      </c>
      <c r="F23" s="15">
        <v>125.19939902102973</v>
      </c>
    </row>
    <row r="24" spans="1:6" ht="12">
      <c r="A24" s="22">
        <v>38892</v>
      </c>
      <c r="B24" s="15">
        <v>19324548.69</v>
      </c>
      <c r="C24" s="15">
        <f t="shared" si="0"/>
        <v>17836486.07</v>
      </c>
      <c r="D24" s="15">
        <v>1488062.62</v>
      </c>
      <c r="E24" s="16">
        <v>1576</v>
      </c>
      <c r="F24" s="15">
        <v>134.8860242929659</v>
      </c>
    </row>
    <row r="25" spans="1:6" ht="12">
      <c r="A25" s="22">
        <v>38899</v>
      </c>
      <c r="B25" s="15">
        <v>20326890.18</v>
      </c>
      <c r="C25" s="15">
        <f t="shared" si="0"/>
        <v>18812078.61</v>
      </c>
      <c r="D25" s="15">
        <v>1514811.57</v>
      </c>
      <c r="E25" s="16">
        <v>1576</v>
      </c>
      <c r="F25" s="15">
        <v>137.31069343727336</v>
      </c>
    </row>
    <row r="26" spans="1:6" ht="12">
      <c r="A26" s="22">
        <v>38906</v>
      </c>
      <c r="B26" s="15">
        <v>30479452.36</v>
      </c>
      <c r="C26" s="15">
        <f t="shared" si="0"/>
        <v>28155141.7</v>
      </c>
      <c r="D26" s="15">
        <v>2324310.66</v>
      </c>
      <c r="E26" s="16">
        <v>1576</v>
      </c>
      <c r="F26" s="15">
        <v>210.68805837563454</v>
      </c>
    </row>
    <row r="27" spans="1:6" ht="12">
      <c r="A27" s="22">
        <v>38913</v>
      </c>
      <c r="B27" s="15">
        <v>22676738.69</v>
      </c>
      <c r="C27" s="15">
        <f t="shared" si="0"/>
        <v>20953444.48</v>
      </c>
      <c r="D27" s="15">
        <v>1723294.21</v>
      </c>
      <c r="E27" s="16">
        <v>1576</v>
      </c>
      <c r="F27" s="15">
        <v>156.20868473531542</v>
      </c>
    </row>
    <row r="28" spans="1:6" ht="12">
      <c r="A28" s="22">
        <v>38920</v>
      </c>
      <c r="B28" s="15">
        <v>22996150.98</v>
      </c>
      <c r="C28" s="15">
        <f t="shared" si="0"/>
        <v>21252828.8</v>
      </c>
      <c r="D28" s="15">
        <v>1743322.18</v>
      </c>
      <c r="E28" s="16">
        <v>1576</v>
      </c>
      <c r="F28" s="15">
        <v>158.02412799129803</v>
      </c>
    </row>
    <row r="29" spans="1:6" ht="12">
      <c r="A29" s="22">
        <v>38927</v>
      </c>
      <c r="B29" s="15">
        <v>22362521.22</v>
      </c>
      <c r="C29" s="15">
        <f t="shared" si="0"/>
        <v>20676585.47</v>
      </c>
      <c r="D29" s="15">
        <v>1685935.75</v>
      </c>
      <c r="E29" s="16">
        <v>1576</v>
      </c>
      <c r="F29" s="15">
        <v>152.82231236403192</v>
      </c>
    </row>
    <row r="30" spans="1:6" ht="12">
      <c r="A30" s="22">
        <v>38934</v>
      </c>
      <c r="B30" s="15">
        <v>23326811.410000004</v>
      </c>
      <c r="C30" s="15">
        <f t="shared" si="0"/>
        <v>21518883.960000005</v>
      </c>
      <c r="D30" s="15">
        <v>1807927.45</v>
      </c>
      <c r="E30" s="16">
        <v>1576</v>
      </c>
      <c r="F30" s="15">
        <v>163.88029822335022</v>
      </c>
    </row>
    <row r="31" spans="1:6" ht="12">
      <c r="A31" s="22">
        <v>38941</v>
      </c>
      <c r="B31" s="15">
        <v>24098696.880000003</v>
      </c>
      <c r="C31" s="15">
        <f t="shared" si="0"/>
        <v>22199274.930000003</v>
      </c>
      <c r="D31" s="15">
        <v>1899421.95</v>
      </c>
      <c r="E31" s="16">
        <v>1582.2857142857142</v>
      </c>
      <c r="F31" s="15">
        <v>171.489883531961</v>
      </c>
    </row>
    <row r="32" spans="1:6" ht="12">
      <c r="A32" s="22">
        <v>38948</v>
      </c>
      <c r="B32" s="15">
        <v>23141093.84</v>
      </c>
      <c r="C32" s="15">
        <f t="shared" si="0"/>
        <v>21318504.71</v>
      </c>
      <c r="D32" s="15">
        <v>1822589.13</v>
      </c>
      <c r="E32" s="16">
        <v>1587</v>
      </c>
      <c r="F32" s="15">
        <v>164.06419389684038</v>
      </c>
    </row>
    <row r="33" spans="1:6" ht="12">
      <c r="A33" s="22">
        <v>38955</v>
      </c>
      <c r="B33" s="15">
        <v>22968718.5</v>
      </c>
      <c r="C33" s="15">
        <f t="shared" si="0"/>
        <v>21154279.28</v>
      </c>
      <c r="D33" s="15">
        <v>1814439.22</v>
      </c>
      <c r="E33" s="16">
        <v>1587</v>
      </c>
      <c r="F33" s="15">
        <v>163.33056260689534</v>
      </c>
    </row>
    <row r="34" spans="1:6" ht="12">
      <c r="A34" s="22">
        <v>38962</v>
      </c>
      <c r="B34" s="15">
        <v>22394195.5</v>
      </c>
      <c r="C34" s="15">
        <f t="shared" si="0"/>
        <v>20643608.9</v>
      </c>
      <c r="D34" s="15">
        <v>1750586.6</v>
      </c>
      <c r="E34" s="16">
        <v>1587</v>
      </c>
      <c r="F34" s="15">
        <v>157.58273471959674</v>
      </c>
    </row>
    <row r="35" spans="1:6" ht="12">
      <c r="A35" s="22">
        <v>38969</v>
      </c>
      <c r="B35" s="15">
        <v>23837515.36</v>
      </c>
      <c r="C35" s="15">
        <f t="shared" si="0"/>
        <v>22109142.87</v>
      </c>
      <c r="D35" s="15">
        <v>1728372.49</v>
      </c>
      <c r="E35" s="16">
        <v>1587</v>
      </c>
      <c r="F35" s="15">
        <v>155.58308488612838</v>
      </c>
    </row>
    <row r="36" spans="1:6" ht="12">
      <c r="A36" s="22">
        <v>38976</v>
      </c>
      <c r="B36" s="15">
        <v>19858637</v>
      </c>
      <c r="C36" s="15">
        <f t="shared" si="0"/>
        <v>18311423.86</v>
      </c>
      <c r="D36" s="15">
        <v>1547213.14</v>
      </c>
      <c r="E36" s="16">
        <v>1587</v>
      </c>
      <c r="F36" s="15">
        <v>139.2756449725448</v>
      </c>
    </row>
    <row r="37" spans="1:6" ht="12">
      <c r="A37" s="22">
        <v>38983</v>
      </c>
      <c r="B37" s="15">
        <v>19797899.62</v>
      </c>
      <c r="C37" s="15">
        <f t="shared" si="0"/>
        <v>18254611.950000003</v>
      </c>
      <c r="D37" s="15">
        <v>1543287.67</v>
      </c>
      <c r="E37" s="16">
        <v>1587</v>
      </c>
      <c r="F37" s="15">
        <v>138.9222855342515</v>
      </c>
    </row>
    <row r="38" spans="1:6" ht="12">
      <c r="A38" s="22">
        <v>38990</v>
      </c>
      <c r="B38" s="15">
        <v>18643719.3</v>
      </c>
      <c r="C38" s="15">
        <f t="shared" si="0"/>
        <v>17229932.85</v>
      </c>
      <c r="D38" s="15">
        <v>1413786.45</v>
      </c>
      <c r="E38" s="16">
        <v>1587</v>
      </c>
      <c r="F38" s="15">
        <v>127.26496084256009</v>
      </c>
    </row>
    <row r="39" spans="1:6" ht="12">
      <c r="A39" s="22">
        <v>38997</v>
      </c>
      <c r="B39" s="15">
        <v>19032038.83</v>
      </c>
      <c r="C39" s="15">
        <f t="shared" si="0"/>
        <v>17523029.61</v>
      </c>
      <c r="D39" s="15">
        <v>1509009.22</v>
      </c>
      <c r="E39" s="16">
        <v>1587</v>
      </c>
      <c r="F39" s="15">
        <v>135.83663876136467</v>
      </c>
    </row>
    <row r="40" spans="1:6" ht="12">
      <c r="A40" s="22">
        <v>39004</v>
      </c>
      <c r="B40" s="15">
        <v>20261089.1</v>
      </c>
      <c r="C40" s="15">
        <f t="shared" si="0"/>
        <v>18716174.41</v>
      </c>
      <c r="D40" s="15">
        <v>1544914.69</v>
      </c>
      <c r="E40" s="16">
        <v>1587</v>
      </c>
      <c r="F40" s="15">
        <v>139.0687451615807</v>
      </c>
    </row>
    <row r="41" spans="1:6" ht="12">
      <c r="A41" s="22">
        <v>39011</v>
      </c>
      <c r="B41" s="15">
        <v>17412284.21</v>
      </c>
      <c r="C41" s="15">
        <f t="shared" si="0"/>
        <v>16003877.110000001</v>
      </c>
      <c r="D41" s="15">
        <v>1408407.1</v>
      </c>
      <c r="E41" s="16">
        <v>1587</v>
      </c>
      <c r="F41" s="15">
        <v>126.78072733819424</v>
      </c>
    </row>
    <row r="42" spans="1:6" ht="12">
      <c r="A42" s="22">
        <v>39018</v>
      </c>
      <c r="B42" s="15">
        <v>16030401.52</v>
      </c>
      <c r="C42" s="15">
        <f t="shared" si="0"/>
        <v>14802224.799999999</v>
      </c>
      <c r="D42" s="15">
        <v>1228176.72</v>
      </c>
      <c r="E42" s="16">
        <v>1587</v>
      </c>
      <c r="F42" s="15">
        <v>110.55691061301646</v>
      </c>
    </row>
    <row r="43" spans="1:6" ht="12">
      <c r="A43" s="22">
        <v>39025</v>
      </c>
      <c r="B43" s="15">
        <v>17474903.930000003</v>
      </c>
      <c r="C43" s="15">
        <f t="shared" si="0"/>
        <v>16123622.990000004</v>
      </c>
      <c r="D43" s="15">
        <v>1351280.94</v>
      </c>
      <c r="E43" s="16">
        <v>1587</v>
      </c>
      <c r="F43" s="15">
        <v>121.63839589522011</v>
      </c>
    </row>
    <row r="44" spans="1:6" ht="12">
      <c r="A44" s="22">
        <v>39032</v>
      </c>
      <c r="B44" s="15">
        <v>17584207.14</v>
      </c>
      <c r="C44" s="15">
        <f t="shared" si="0"/>
        <v>16175015.05</v>
      </c>
      <c r="D44" s="15">
        <v>1409192.09</v>
      </c>
      <c r="E44" s="16">
        <v>1587</v>
      </c>
      <c r="F44" s="15">
        <v>126.85138986407416</v>
      </c>
    </row>
    <row r="45" spans="1:6" ht="12">
      <c r="A45" s="22">
        <v>39039</v>
      </c>
      <c r="B45" s="15">
        <v>14807153.040000001</v>
      </c>
      <c r="C45" s="15">
        <f t="shared" si="0"/>
        <v>13706845.020000001</v>
      </c>
      <c r="D45" s="15">
        <v>1100308.02</v>
      </c>
      <c r="E45" s="16">
        <v>1587</v>
      </c>
      <c r="F45" s="15">
        <v>99.04654064272209</v>
      </c>
    </row>
    <row r="46" spans="1:6" ht="12">
      <c r="A46" s="22">
        <v>39046</v>
      </c>
      <c r="B46" s="15">
        <v>16389183.370000001</v>
      </c>
      <c r="C46" s="15">
        <f t="shared" si="0"/>
        <v>15122615.740000002</v>
      </c>
      <c r="D46" s="15">
        <v>1266567.63</v>
      </c>
      <c r="E46" s="16">
        <v>1587</v>
      </c>
      <c r="F46" s="15">
        <v>114.01274912233323</v>
      </c>
    </row>
    <row r="47" spans="1:6" ht="12">
      <c r="A47" s="22">
        <v>39053</v>
      </c>
      <c r="B47" s="15">
        <v>13154524.489999998</v>
      </c>
      <c r="C47" s="15">
        <f t="shared" si="0"/>
        <v>12213031.389999999</v>
      </c>
      <c r="D47" s="15">
        <v>941493.1</v>
      </c>
      <c r="E47" s="16">
        <v>1587</v>
      </c>
      <c r="F47" s="15">
        <v>84.75048159150238</v>
      </c>
    </row>
    <row r="48" spans="1:6" ht="12">
      <c r="A48" s="22">
        <v>39060</v>
      </c>
      <c r="B48" s="15">
        <v>12342777.35</v>
      </c>
      <c r="C48" s="15">
        <f t="shared" si="0"/>
        <v>11403242.7</v>
      </c>
      <c r="D48" s="15">
        <v>939534.65</v>
      </c>
      <c r="E48" s="16">
        <v>1587</v>
      </c>
      <c r="F48" s="15">
        <v>84.57418759564317</v>
      </c>
    </row>
    <row r="49" spans="1:6" ht="12">
      <c r="A49" s="22">
        <v>39067</v>
      </c>
      <c r="B49" s="15">
        <v>12735878.950000001</v>
      </c>
      <c r="C49" s="15">
        <f t="shared" si="0"/>
        <v>11717758.81</v>
      </c>
      <c r="D49" s="15">
        <v>1018120.14</v>
      </c>
      <c r="E49" s="16">
        <v>1587</v>
      </c>
      <c r="F49" s="15">
        <v>91.64822576289494</v>
      </c>
    </row>
    <row r="50" spans="1:6" ht="12">
      <c r="A50" s="22">
        <v>39074</v>
      </c>
      <c r="B50" s="15">
        <v>10950483.06</v>
      </c>
      <c r="C50" s="15">
        <f t="shared" si="0"/>
        <v>10137527.21</v>
      </c>
      <c r="D50" s="15">
        <v>812955.85</v>
      </c>
      <c r="E50" s="16">
        <v>1587</v>
      </c>
      <c r="F50" s="15">
        <v>73.1799306868305</v>
      </c>
    </row>
    <row r="51" spans="1:6" ht="12">
      <c r="A51" s="22">
        <v>39081</v>
      </c>
      <c r="B51" s="15">
        <v>17361837.869999997</v>
      </c>
      <c r="C51" s="15">
        <f t="shared" si="0"/>
        <v>16000851.849999998</v>
      </c>
      <c r="D51" s="15">
        <v>1360986.02</v>
      </c>
      <c r="E51" s="16">
        <v>1587</v>
      </c>
      <c r="F51" s="15">
        <v>122.51201908362589</v>
      </c>
    </row>
    <row r="52" spans="1:6" ht="12">
      <c r="A52" s="22">
        <v>39088</v>
      </c>
      <c r="B52" s="15">
        <v>17977903.27</v>
      </c>
      <c r="C52" s="15">
        <f t="shared" si="0"/>
        <v>16633981.12</v>
      </c>
      <c r="D52" s="15">
        <v>1343922.15</v>
      </c>
      <c r="E52" s="16">
        <v>1587</v>
      </c>
      <c r="F52" s="15">
        <v>120.97597893599783</v>
      </c>
    </row>
    <row r="53" spans="1:6" ht="12">
      <c r="A53" s="22">
        <v>39095</v>
      </c>
      <c r="B53" s="15">
        <v>14610866.309999999</v>
      </c>
      <c r="C53" s="15">
        <f t="shared" si="0"/>
        <v>13392648.839999998</v>
      </c>
      <c r="D53" s="15">
        <v>1218217.47</v>
      </c>
      <c r="E53" s="16">
        <v>1587</v>
      </c>
      <c r="F53" s="15">
        <v>109.66040777747772</v>
      </c>
    </row>
    <row r="54" spans="1:6" ht="12">
      <c r="A54" s="22">
        <v>39102</v>
      </c>
      <c r="B54" s="15">
        <v>13897924.950000001</v>
      </c>
      <c r="C54" s="15">
        <f t="shared" si="0"/>
        <v>12829707.040000001</v>
      </c>
      <c r="D54" s="15">
        <v>1068217.91</v>
      </c>
      <c r="E54" s="16">
        <v>1587</v>
      </c>
      <c r="F54" s="15">
        <v>96.15788189756053</v>
      </c>
    </row>
    <row r="55" spans="1:6" ht="12">
      <c r="A55" s="22">
        <v>39109</v>
      </c>
      <c r="B55" s="15">
        <v>12750294.7</v>
      </c>
      <c r="C55" s="15">
        <f t="shared" si="0"/>
        <v>11706913.59</v>
      </c>
      <c r="D55" s="15">
        <v>1043381.11</v>
      </c>
      <c r="E55" s="16">
        <v>1587</v>
      </c>
      <c r="F55" s="15">
        <v>93.92214510757043</v>
      </c>
    </row>
    <row r="56" spans="1:6" ht="12">
      <c r="A56" s="22">
        <v>39116</v>
      </c>
      <c r="B56" s="15">
        <v>12903653.649999999</v>
      </c>
      <c r="C56" s="15">
        <f t="shared" si="0"/>
        <v>11857908.819999998</v>
      </c>
      <c r="D56" s="15">
        <v>1045744.83</v>
      </c>
      <c r="E56" s="16">
        <v>1587</v>
      </c>
      <c r="F56" s="15">
        <v>94.13492033486362</v>
      </c>
    </row>
    <row r="57" spans="1:6" ht="12">
      <c r="A57" s="22">
        <v>39123</v>
      </c>
      <c r="B57" s="15">
        <v>14369051.720000003</v>
      </c>
      <c r="C57" s="15">
        <f t="shared" si="0"/>
        <v>13198370.950000003</v>
      </c>
      <c r="D57" s="15">
        <v>1170680.77</v>
      </c>
      <c r="E57" s="16">
        <v>1587</v>
      </c>
      <c r="F57" s="15">
        <v>105.38129174543165</v>
      </c>
    </row>
    <row r="58" spans="1:6" ht="12">
      <c r="A58" s="22">
        <v>39130</v>
      </c>
      <c r="B58" s="15">
        <v>13565476.39</v>
      </c>
      <c r="C58" s="15">
        <f t="shared" si="0"/>
        <v>12579310.22</v>
      </c>
      <c r="D58" s="15">
        <v>986166.17</v>
      </c>
      <c r="E58" s="16">
        <v>1587</v>
      </c>
      <c r="F58" s="15">
        <v>88.77182194616977</v>
      </c>
    </row>
    <row r="59" spans="1:6" ht="12">
      <c r="A59" s="22">
        <v>39137</v>
      </c>
      <c r="B59" s="15">
        <v>16801799.62</v>
      </c>
      <c r="C59" s="15">
        <f t="shared" si="0"/>
        <v>15559350.030000001</v>
      </c>
      <c r="D59" s="15">
        <v>1242449.59</v>
      </c>
      <c r="E59" s="16">
        <v>1587</v>
      </c>
      <c r="F59" s="15">
        <v>111.84171302547485</v>
      </c>
    </row>
    <row r="60" spans="1:6" ht="12">
      <c r="A60" s="22">
        <v>39144</v>
      </c>
      <c r="B60" s="15">
        <v>15255606.75</v>
      </c>
      <c r="C60" s="15">
        <f t="shared" si="0"/>
        <v>14018246.81</v>
      </c>
      <c r="D60" s="15">
        <v>1237359.94</v>
      </c>
      <c r="E60" s="16">
        <v>1587</v>
      </c>
      <c r="F60" s="15">
        <v>111.38355747592043</v>
      </c>
    </row>
    <row r="61" spans="1:6" ht="12">
      <c r="A61" s="22">
        <v>39151</v>
      </c>
      <c r="B61" s="15">
        <v>16552286.14</v>
      </c>
      <c r="C61" s="15">
        <f t="shared" si="0"/>
        <v>15235020.350000001</v>
      </c>
      <c r="D61" s="15">
        <v>1317265.79</v>
      </c>
      <c r="E61" s="16">
        <v>1587</v>
      </c>
      <c r="F61" s="15">
        <v>118.57645062561888</v>
      </c>
    </row>
    <row r="62" spans="1:6" ht="12">
      <c r="A62" s="22">
        <v>39158</v>
      </c>
      <c r="B62" s="15">
        <v>13485562.61</v>
      </c>
      <c r="C62" s="15">
        <f t="shared" si="0"/>
        <v>12461861.91</v>
      </c>
      <c r="D62" s="15">
        <v>1023700.7</v>
      </c>
      <c r="E62" s="16">
        <v>1587</v>
      </c>
      <c r="F62" s="15">
        <v>92.15057160860563</v>
      </c>
    </row>
    <row r="63" spans="1:6" ht="12">
      <c r="A63" s="25">
        <v>39165</v>
      </c>
      <c r="B63" s="23">
        <v>16687400.329999998</v>
      </c>
      <c r="C63" s="15">
        <f t="shared" si="0"/>
        <v>15350713.159999998</v>
      </c>
      <c r="D63" s="23">
        <v>1336687.17</v>
      </c>
      <c r="E63" s="16">
        <v>1587</v>
      </c>
      <c r="F63" s="15">
        <v>120.32470699432892</v>
      </c>
    </row>
    <row r="64" spans="1:6" ht="12">
      <c r="A64" s="34">
        <v>39172</v>
      </c>
      <c r="B64" s="23">
        <v>17335124.59</v>
      </c>
      <c r="C64" s="15">
        <f t="shared" si="0"/>
        <v>15971366.3</v>
      </c>
      <c r="D64" s="23">
        <v>1363758.29</v>
      </c>
      <c r="E64" s="16">
        <v>1587</v>
      </c>
      <c r="F64" s="15">
        <v>122.76157079845171</v>
      </c>
    </row>
    <row r="66" spans="1:6" ht="12.75" thickBot="1">
      <c r="A66" s="25" t="s">
        <v>13</v>
      </c>
      <c r="B66" s="17">
        <f>SUM(B13:B64)</f>
        <v>956308397.6800001</v>
      </c>
      <c r="C66" s="17">
        <f>SUM(C13:C64)</f>
        <v>882320093.34</v>
      </c>
      <c r="D66" s="17">
        <f>SUM(D13:D64)</f>
        <v>73988304.34000003</v>
      </c>
      <c r="E66" s="24">
        <f>SUM(E13:E64)/COUNT(E13:E64)</f>
        <v>1583.1016483516482</v>
      </c>
      <c r="F66" s="17">
        <f>+D66/SUM(E13:E64)/7</f>
        <v>128.3964125577659</v>
      </c>
    </row>
    <row r="67" spans="2:4" ht="12.75" customHeight="1" thickTop="1">
      <c r="B67" s="18"/>
      <c r="C67" s="18"/>
      <c r="D67" s="18"/>
    </row>
    <row r="68" spans="1:4" s="21" customFormat="1" ht="12">
      <c r="A68" s="22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monticellogamingand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pane ySplit="11" topLeftCell="A57" activePane="bottomLeft" state="frozen"/>
      <selection pane="topLeft" activeCell="A1" sqref="A1"/>
      <selection pane="bottomLeft" activeCell="A2" sqref="A2:F2"/>
    </sheetView>
  </sheetViews>
  <sheetFormatPr defaultColWidth="9.140625" defaultRowHeight="12.75"/>
  <cols>
    <col min="1" max="1" width="15.57421875" style="22" customWidth="1"/>
    <col min="2" max="4" width="15.57421875" style="15" customWidth="1"/>
    <col min="5" max="5" width="15.57421875" style="16" customWidth="1"/>
    <col min="6" max="6" width="15.57421875" style="15" customWidth="1"/>
  </cols>
  <sheetData>
    <row r="1" spans="1:9" ht="18">
      <c r="A1" s="35" t="s">
        <v>16</v>
      </c>
      <c r="B1" s="35"/>
      <c r="C1" s="35"/>
      <c r="D1" s="35"/>
      <c r="E1" s="35"/>
      <c r="F1" s="35"/>
      <c r="G1" s="26"/>
      <c r="H1" s="26"/>
      <c r="I1" s="26"/>
    </row>
    <row r="2" spans="1:9" ht="15">
      <c r="A2" s="36" t="s">
        <v>17</v>
      </c>
      <c r="B2" s="36"/>
      <c r="C2" s="36"/>
      <c r="D2" s="36"/>
      <c r="E2" s="36"/>
      <c r="F2" s="36"/>
      <c r="G2" s="27"/>
      <c r="H2" s="27"/>
      <c r="I2" s="27"/>
    </row>
    <row r="3" spans="1:9" s="1" customFormat="1" ht="15">
      <c r="A3" s="36" t="s">
        <v>18</v>
      </c>
      <c r="B3" s="36"/>
      <c r="C3" s="36"/>
      <c r="D3" s="36"/>
      <c r="E3" s="36"/>
      <c r="F3" s="36"/>
      <c r="G3" s="27"/>
      <c r="H3" s="27"/>
      <c r="I3" s="27"/>
    </row>
    <row r="4" spans="1:9" s="1" customFormat="1" ht="13.5">
      <c r="A4" s="42" t="s">
        <v>19</v>
      </c>
      <c r="B4" s="42"/>
      <c r="C4" s="42"/>
      <c r="D4" s="42"/>
      <c r="E4" s="42"/>
      <c r="F4" s="42"/>
      <c r="G4" s="28"/>
      <c r="H4" s="28"/>
      <c r="I4" s="28"/>
    </row>
    <row r="5" spans="1:9" s="1" customFormat="1" ht="13.5">
      <c r="A5" s="38" t="s">
        <v>20</v>
      </c>
      <c r="B5" s="38"/>
      <c r="C5" s="38"/>
      <c r="D5" s="38"/>
      <c r="E5" s="38"/>
      <c r="F5" s="38"/>
      <c r="G5" s="29"/>
      <c r="H5" s="29"/>
      <c r="I5" s="29"/>
    </row>
    <row r="6" spans="1:6" s="1" customFormat="1" ht="13.5">
      <c r="A6" s="31"/>
      <c r="B6" s="2"/>
      <c r="C6" s="2"/>
      <c r="D6" s="2"/>
      <c r="E6" s="2"/>
      <c r="F6" s="2"/>
    </row>
    <row r="7" spans="1:6" s="1" customFormat="1" ht="12">
      <c r="A7" s="22"/>
      <c r="B7" s="4"/>
      <c r="C7" s="4"/>
      <c r="D7" s="5"/>
      <c r="E7" s="6"/>
      <c r="F7" s="5"/>
    </row>
    <row r="8" spans="1:6" s="7" customFormat="1" ht="14.25" customHeight="1">
      <c r="A8" s="39" t="s">
        <v>12</v>
      </c>
      <c r="B8" s="40"/>
      <c r="C8" s="40"/>
      <c r="D8" s="40"/>
      <c r="E8" s="40"/>
      <c r="F8" s="41"/>
    </row>
    <row r="9" spans="1:6" s="1" customFormat="1" ht="9" customHeight="1">
      <c r="A9" s="22"/>
      <c r="B9" s="4"/>
      <c r="C9" s="4"/>
      <c r="D9" s="5"/>
      <c r="E9" s="6"/>
      <c r="F9" s="5"/>
    </row>
    <row r="10" spans="1:6" s="12" customFormat="1" ht="11.25">
      <c r="A10" s="32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1.25">
      <c r="A11" s="3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">
      <c r="A13" s="22">
        <v>38444</v>
      </c>
      <c r="B13" s="15">
        <v>14836020.36</v>
      </c>
      <c r="C13" s="15">
        <f aca="true" t="shared" si="0" ref="C13:C19">+B13-D13</f>
        <v>13742302.53</v>
      </c>
      <c r="D13" s="15">
        <v>1093717.83</v>
      </c>
      <c r="E13" s="16">
        <v>1744</v>
      </c>
      <c r="F13" s="15">
        <v>89.59025475098296</v>
      </c>
    </row>
    <row r="14" spans="1:6" ht="12">
      <c r="A14" s="22">
        <v>38451</v>
      </c>
      <c r="B14" s="15">
        <v>16246805.329999998</v>
      </c>
      <c r="C14" s="15">
        <f t="shared" si="0"/>
        <v>15009385.259999998</v>
      </c>
      <c r="D14" s="15">
        <v>1237420.07</v>
      </c>
      <c r="E14" s="16">
        <v>1744</v>
      </c>
      <c r="F14" s="15">
        <v>101.36140809305374</v>
      </c>
    </row>
    <row r="15" spans="1:6" ht="12">
      <c r="A15" s="22">
        <v>38458</v>
      </c>
      <c r="B15" s="15">
        <v>16785826.689999998</v>
      </c>
      <c r="C15" s="15">
        <f t="shared" si="0"/>
        <v>15499365.129999997</v>
      </c>
      <c r="D15" s="15">
        <v>1286461.56</v>
      </c>
      <c r="E15" s="16">
        <v>1725.4285714285713</v>
      </c>
      <c r="F15" s="15">
        <v>106.51279682066568</v>
      </c>
    </row>
    <row r="16" spans="1:6" ht="12">
      <c r="A16" s="22">
        <v>38465</v>
      </c>
      <c r="B16" s="15">
        <v>17190680.03</v>
      </c>
      <c r="C16" s="15">
        <f t="shared" si="0"/>
        <v>15895636.030000001</v>
      </c>
      <c r="D16" s="15">
        <v>1295044</v>
      </c>
      <c r="E16" s="16">
        <v>1718</v>
      </c>
      <c r="F16" s="15">
        <v>107.6870114751372</v>
      </c>
    </row>
    <row r="17" spans="1:6" ht="12">
      <c r="A17" s="22">
        <v>38472</v>
      </c>
      <c r="B17" s="15">
        <v>17566017.15</v>
      </c>
      <c r="C17" s="15">
        <f t="shared" si="0"/>
        <v>16218435.29</v>
      </c>
      <c r="D17" s="15">
        <v>1347581.86</v>
      </c>
      <c r="E17" s="16">
        <v>1718</v>
      </c>
      <c r="F17" s="15">
        <v>112.05570098120738</v>
      </c>
    </row>
    <row r="18" spans="1:6" ht="12">
      <c r="A18" s="22">
        <v>38479</v>
      </c>
      <c r="B18" s="15">
        <v>17208544.18</v>
      </c>
      <c r="C18" s="15">
        <f t="shared" si="0"/>
        <v>15850493.5</v>
      </c>
      <c r="D18" s="15">
        <v>1358050.68</v>
      </c>
      <c r="E18" s="16">
        <v>1718</v>
      </c>
      <c r="F18" s="15">
        <v>112.92621653084984</v>
      </c>
    </row>
    <row r="19" spans="1:6" ht="12">
      <c r="A19" s="22">
        <v>38486</v>
      </c>
      <c r="B19" s="15">
        <v>17545518.759999998</v>
      </c>
      <c r="C19" s="15">
        <f t="shared" si="0"/>
        <v>16218874.539999997</v>
      </c>
      <c r="D19" s="15">
        <v>1326644.22</v>
      </c>
      <c r="E19" s="16">
        <v>1718</v>
      </c>
      <c r="F19" s="15">
        <v>110.3146698819225</v>
      </c>
    </row>
    <row r="20" spans="1:6" ht="12">
      <c r="A20" s="22">
        <v>38493</v>
      </c>
      <c r="B20" s="15">
        <v>17841861.64</v>
      </c>
      <c r="C20" s="15">
        <f>+B20-D20</f>
        <v>16507857.83</v>
      </c>
      <c r="D20" s="15">
        <v>1334003.81</v>
      </c>
      <c r="E20" s="16">
        <v>1718</v>
      </c>
      <c r="F20" s="15">
        <v>110.92664310660237</v>
      </c>
    </row>
    <row r="21" spans="1:6" ht="12">
      <c r="A21" s="22">
        <v>38500</v>
      </c>
      <c r="B21" s="15">
        <v>17822804.58</v>
      </c>
      <c r="C21" s="15">
        <f aca="true" t="shared" si="1" ref="C21:C65">+B21-D21</f>
        <v>16446258.369999997</v>
      </c>
      <c r="D21" s="15">
        <v>1376546.21</v>
      </c>
      <c r="E21" s="16">
        <v>1718</v>
      </c>
      <c r="F21" s="15">
        <v>114.46417844669881</v>
      </c>
    </row>
    <row r="22" spans="1:6" ht="12">
      <c r="A22" s="22">
        <v>38507</v>
      </c>
      <c r="B22" s="15">
        <v>22072328.79</v>
      </c>
      <c r="C22" s="15">
        <f t="shared" si="1"/>
        <v>20338975.15</v>
      </c>
      <c r="D22" s="15">
        <v>1733353.64</v>
      </c>
      <c r="E22" s="16">
        <v>1718</v>
      </c>
      <c r="F22" s="15">
        <v>144.13384666555794</v>
      </c>
    </row>
    <row r="23" spans="1:6" ht="12">
      <c r="A23" s="22">
        <v>38514</v>
      </c>
      <c r="B23" s="15">
        <v>16738176.75</v>
      </c>
      <c r="C23" s="15">
        <f t="shared" si="1"/>
        <v>15436967.46</v>
      </c>
      <c r="D23" s="15">
        <v>1301209.29</v>
      </c>
      <c r="E23" s="16">
        <v>1718</v>
      </c>
      <c r="F23" s="15">
        <v>108.19967487111259</v>
      </c>
    </row>
    <row r="24" spans="1:6" ht="12">
      <c r="A24" s="22">
        <v>38521</v>
      </c>
      <c r="B24" s="15">
        <v>17921393.14</v>
      </c>
      <c r="C24" s="15">
        <f t="shared" si="1"/>
        <v>16599799.74</v>
      </c>
      <c r="D24" s="15">
        <v>1321593.4</v>
      </c>
      <c r="E24" s="16">
        <v>1718</v>
      </c>
      <c r="F24" s="15">
        <v>109.8946781972393</v>
      </c>
    </row>
    <row r="25" spans="1:6" ht="12">
      <c r="A25" s="22">
        <v>38528</v>
      </c>
      <c r="B25" s="15">
        <v>18020305.59</v>
      </c>
      <c r="C25" s="15">
        <f t="shared" si="1"/>
        <v>16693080.78</v>
      </c>
      <c r="D25" s="15">
        <v>1327224.81</v>
      </c>
      <c r="E25" s="16">
        <v>1718</v>
      </c>
      <c r="F25" s="15">
        <v>110.36294777981041</v>
      </c>
    </row>
    <row r="26" spans="1:6" ht="12">
      <c r="A26" s="22">
        <v>38535</v>
      </c>
      <c r="B26" s="15">
        <v>19558271.07</v>
      </c>
      <c r="C26" s="15">
        <f t="shared" si="1"/>
        <v>18109256.85</v>
      </c>
      <c r="D26" s="15">
        <v>1449014.22</v>
      </c>
      <c r="E26" s="16">
        <v>1718</v>
      </c>
      <c r="F26" s="15">
        <v>120.49012306668885</v>
      </c>
    </row>
    <row r="27" spans="1:6" ht="12">
      <c r="A27" s="22">
        <v>38542</v>
      </c>
      <c r="B27" s="15">
        <v>25490964.36</v>
      </c>
      <c r="C27" s="15">
        <f t="shared" si="1"/>
        <v>23567486.79</v>
      </c>
      <c r="D27" s="15">
        <v>1923477.57</v>
      </c>
      <c r="E27" s="16">
        <v>1718</v>
      </c>
      <c r="F27" s="15">
        <v>159.94325378346915</v>
      </c>
    </row>
    <row r="28" spans="1:6" ht="12">
      <c r="A28" s="22">
        <v>38549</v>
      </c>
      <c r="B28" s="15">
        <v>20483783.5</v>
      </c>
      <c r="C28" s="15">
        <f t="shared" si="1"/>
        <v>18843960.45</v>
      </c>
      <c r="D28" s="15">
        <v>1639823.05</v>
      </c>
      <c r="E28" s="16">
        <v>1718</v>
      </c>
      <c r="F28" s="15">
        <v>136.35648178945618</v>
      </c>
    </row>
    <row r="29" spans="1:6" ht="12">
      <c r="A29" s="22">
        <v>38556</v>
      </c>
      <c r="B29" s="15">
        <v>19971684.18</v>
      </c>
      <c r="C29" s="15">
        <f t="shared" si="1"/>
        <v>18429698.55</v>
      </c>
      <c r="D29" s="15">
        <v>1541985.63</v>
      </c>
      <c r="E29" s="16">
        <v>1718</v>
      </c>
      <c r="F29" s="15">
        <v>128.2209903542325</v>
      </c>
    </row>
    <row r="30" spans="1:6" ht="12">
      <c r="A30" s="22">
        <v>38563</v>
      </c>
      <c r="B30" s="15">
        <v>22288494.380000003</v>
      </c>
      <c r="C30" s="15">
        <f t="shared" si="1"/>
        <v>20697422.76</v>
      </c>
      <c r="D30" s="15">
        <v>1591071.62</v>
      </c>
      <c r="E30" s="16">
        <v>1718</v>
      </c>
      <c r="F30" s="15">
        <v>132.30264593381008</v>
      </c>
    </row>
    <row r="31" spans="1:6" ht="12">
      <c r="A31" s="22">
        <v>38570</v>
      </c>
      <c r="B31" s="15">
        <v>20643016.45</v>
      </c>
      <c r="C31" s="15">
        <f t="shared" si="1"/>
        <v>19048953.59</v>
      </c>
      <c r="D31" s="15">
        <v>1594062.86</v>
      </c>
      <c r="E31" s="16">
        <v>1718</v>
      </c>
      <c r="F31" s="15">
        <v>132.55137701646433</v>
      </c>
    </row>
    <row r="32" spans="1:6" ht="12">
      <c r="A32" s="22">
        <v>38577</v>
      </c>
      <c r="B32" s="15">
        <v>20641729.000000004</v>
      </c>
      <c r="C32" s="15">
        <f t="shared" si="1"/>
        <v>19045187.820000004</v>
      </c>
      <c r="D32" s="15">
        <v>1596541.18</v>
      </c>
      <c r="E32" s="16">
        <v>1718</v>
      </c>
      <c r="F32" s="15">
        <v>132.75745717611844</v>
      </c>
    </row>
    <row r="33" spans="1:6" ht="12">
      <c r="A33" s="22">
        <v>38584</v>
      </c>
      <c r="B33" s="15">
        <v>20654051.909999996</v>
      </c>
      <c r="C33" s="15">
        <f t="shared" si="1"/>
        <v>19135996.669999998</v>
      </c>
      <c r="D33" s="15">
        <v>1518055.24</v>
      </c>
      <c r="E33" s="16">
        <v>1718</v>
      </c>
      <c r="F33" s="15">
        <v>126.23110261100948</v>
      </c>
    </row>
    <row r="34" spans="1:6" ht="12">
      <c r="A34" s="22">
        <v>38591</v>
      </c>
      <c r="B34" s="15">
        <v>19995058.86</v>
      </c>
      <c r="C34" s="15">
        <f t="shared" si="1"/>
        <v>18397947.75</v>
      </c>
      <c r="D34" s="15">
        <v>1597111.11</v>
      </c>
      <c r="E34" s="16">
        <v>1718</v>
      </c>
      <c r="F34" s="15">
        <v>132.804848661234</v>
      </c>
    </row>
    <row r="35" spans="1:6" ht="12">
      <c r="A35" s="22">
        <v>38598</v>
      </c>
      <c r="B35" s="15">
        <v>21186877.97</v>
      </c>
      <c r="C35" s="15">
        <f t="shared" si="1"/>
        <v>19560898.02</v>
      </c>
      <c r="D35" s="15">
        <v>1625979.95</v>
      </c>
      <c r="E35" s="16">
        <v>1718</v>
      </c>
      <c r="F35" s="15">
        <v>135.2053841676368</v>
      </c>
    </row>
    <row r="36" spans="1:6" ht="12">
      <c r="A36" s="22">
        <v>38605</v>
      </c>
      <c r="B36" s="15">
        <v>21549786.759999998</v>
      </c>
      <c r="C36" s="15">
        <f t="shared" si="1"/>
        <v>19989791.81</v>
      </c>
      <c r="D36" s="15">
        <v>1559994.95</v>
      </c>
      <c r="E36" s="16">
        <v>1718</v>
      </c>
      <c r="F36" s="15">
        <v>129.71852236820223</v>
      </c>
    </row>
    <row r="37" spans="1:6" ht="12">
      <c r="A37" s="22">
        <v>38612</v>
      </c>
      <c r="B37" s="15">
        <v>18725570.11</v>
      </c>
      <c r="C37" s="15">
        <f t="shared" si="1"/>
        <v>17300870.12</v>
      </c>
      <c r="D37" s="15">
        <v>1424699.99</v>
      </c>
      <c r="E37" s="16">
        <v>1718</v>
      </c>
      <c r="F37" s="15">
        <v>118.4683178114086</v>
      </c>
    </row>
    <row r="38" spans="1:6" ht="12">
      <c r="A38" s="22">
        <v>38619</v>
      </c>
      <c r="B38" s="15">
        <v>18148735.3</v>
      </c>
      <c r="C38" s="15">
        <f t="shared" si="1"/>
        <v>16705243.96</v>
      </c>
      <c r="D38" s="15">
        <v>1443491.34</v>
      </c>
      <c r="E38" s="16">
        <v>1718</v>
      </c>
      <c r="F38" s="15">
        <v>120.0308780974555</v>
      </c>
    </row>
    <row r="39" spans="1:6" ht="12">
      <c r="A39" s="22">
        <v>38626</v>
      </c>
      <c r="B39" s="15">
        <v>19660950.96</v>
      </c>
      <c r="C39" s="15">
        <f t="shared" si="1"/>
        <v>18112900.11</v>
      </c>
      <c r="D39" s="15">
        <v>1548050.85</v>
      </c>
      <c r="E39" s="16">
        <v>1718</v>
      </c>
      <c r="F39" s="15">
        <v>128.72533261267256</v>
      </c>
    </row>
    <row r="40" spans="1:6" ht="12">
      <c r="A40" s="22">
        <v>38633</v>
      </c>
      <c r="B40" s="15">
        <v>17450295.88</v>
      </c>
      <c r="C40" s="15">
        <f t="shared" si="1"/>
        <v>16073353.159999998</v>
      </c>
      <c r="D40" s="15">
        <v>1376942.72</v>
      </c>
      <c r="E40" s="16">
        <v>1718</v>
      </c>
      <c r="F40" s="15">
        <v>114.49714950939628</v>
      </c>
    </row>
    <row r="41" spans="1:6" ht="12">
      <c r="A41" s="22">
        <v>38640</v>
      </c>
      <c r="B41" s="15">
        <v>18898459.52</v>
      </c>
      <c r="C41" s="15">
        <f t="shared" si="1"/>
        <v>17464952.38</v>
      </c>
      <c r="D41" s="15">
        <v>1433507.14</v>
      </c>
      <c r="E41" s="16">
        <v>1596.2857142857142</v>
      </c>
      <c r="F41" s="15">
        <v>128.2895238947557</v>
      </c>
    </row>
    <row r="42" spans="1:6" ht="12">
      <c r="A42" s="22">
        <v>38647</v>
      </c>
      <c r="B42" s="15">
        <v>16723640.239999998</v>
      </c>
      <c r="C42" s="15">
        <f t="shared" si="1"/>
        <v>15441952.619999997</v>
      </c>
      <c r="D42" s="15">
        <v>1281687.62</v>
      </c>
      <c r="E42" s="16">
        <v>1576</v>
      </c>
      <c r="F42" s="15">
        <v>116.17908085569255</v>
      </c>
    </row>
    <row r="43" spans="1:6" ht="12">
      <c r="A43" s="22">
        <v>38654</v>
      </c>
      <c r="B43" s="15">
        <v>17864948.75</v>
      </c>
      <c r="C43" s="15">
        <f t="shared" si="1"/>
        <v>16482989.55</v>
      </c>
      <c r="D43" s="15">
        <v>1381959.2</v>
      </c>
      <c r="E43" s="16">
        <v>1576</v>
      </c>
      <c r="F43" s="15">
        <v>125.26823785351704</v>
      </c>
    </row>
    <row r="44" spans="1:6" ht="12">
      <c r="A44" s="22">
        <v>38661</v>
      </c>
      <c r="B44" s="15">
        <v>18685264.63</v>
      </c>
      <c r="C44" s="15">
        <f t="shared" si="1"/>
        <v>17245127.08</v>
      </c>
      <c r="D44" s="15">
        <v>1440137.55</v>
      </c>
      <c r="E44" s="16">
        <v>1576</v>
      </c>
      <c r="F44" s="15">
        <v>130.541837382161</v>
      </c>
    </row>
    <row r="45" spans="1:6" ht="12">
      <c r="A45" s="22">
        <v>38668</v>
      </c>
      <c r="B45" s="15">
        <v>18026271.62</v>
      </c>
      <c r="C45" s="15">
        <f t="shared" si="1"/>
        <v>16579587.21</v>
      </c>
      <c r="D45" s="15">
        <v>1446684.41</v>
      </c>
      <c r="E45" s="16">
        <v>1576</v>
      </c>
      <c r="F45" s="15">
        <v>131.1352800942712</v>
      </c>
    </row>
    <row r="46" spans="1:6" ht="12">
      <c r="A46" s="22">
        <v>38675</v>
      </c>
      <c r="B46" s="15">
        <v>16315834.170000002</v>
      </c>
      <c r="C46" s="15">
        <f t="shared" si="1"/>
        <v>15047313.71</v>
      </c>
      <c r="D46" s="15">
        <v>1268520.46</v>
      </c>
      <c r="E46" s="16">
        <v>1576</v>
      </c>
      <c r="F46" s="15">
        <v>114.98553843364756</v>
      </c>
    </row>
    <row r="47" spans="1:6" ht="12">
      <c r="A47" s="22">
        <v>38682</v>
      </c>
      <c r="B47" s="15">
        <v>15451706.21</v>
      </c>
      <c r="C47" s="15">
        <f t="shared" si="1"/>
        <v>14243180.22</v>
      </c>
      <c r="D47" s="15">
        <v>1208525.99</v>
      </c>
      <c r="E47" s="16">
        <v>1576</v>
      </c>
      <c r="F47" s="15">
        <v>109.54731598984772</v>
      </c>
    </row>
    <row r="48" spans="1:6" ht="12">
      <c r="A48" s="22">
        <v>38689</v>
      </c>
      <c r="B48" s="15">
        <v>14534302.970000003</v>
      </c>
      <c r="C48" s="15">
        <f t="shared" si="1"/>
        <v>13437847.660000002</v>
      </c>
      <c r="D48" s="15">
        <v>1096455.31</v>
      </c>
      <c r="E48" s="16">
        <v>1576</v>
      </c>
      <c r="F48" s="15">
        <v>99.3886249093546</v>
      </c>
    </row>
    <row r="49" spans="1:6" ht="12">
      <c r="A49" s="22">
        <v>38696</v>
      </c>
      <c r="B49" s="15">
        <v>10457695.129999999</v>
      </c>
      <c r="C49" s="15">
        <f t="shared" si="1"/>
        <v>9628333.11</v>
      </c>
      <c r="D49" s="15">
        <v>829362.02</v>
      </c>
      <c r="E49" s="16">
        <v>1576</v>
      </c>
      <c r="F49" s="15">
        <v>75.17784807831764</v>
      </c>
    </row>
    <row r="50" spans="1:6" ht="12">
      <c r="A50" s="22">
        <v>38703</v>
      </c>
      <c r="B50" s="15">
        <v>10851157.09</v>
      </c>
      <c r="C50" s="15">
        <f t="shared" si="1"/>
        <v>9958112.66</v>
      </c>
      <c r="D50" s="15">
        <v>893044.43</v>
      </c>
      <c r="E50" s="16">
        <v>1576</v>
      </c>
      <c r="F50" s="15">
        <v>80.9503653009427</v>
      </c>
    </row>
    <row r="51" spans="1:6" ht="12">
      <c r="A51" s="22">
        <v>38710</v>
      </c>
      <c r="B51" s="15">
        <v>10526879.42</v>
      </c>
      <c r="C51" s="15">
        <f t="shared" si="1"/>
        <v>9640514.49</v>
      </c>
      <c r="D51" s="15">
        <v>886364.93</v>
      </c>
      <c r="E51" s="16">
        <v>1576</v>
      </c>
      <c r="F51" s="15">
        <v>80.34489938361132</v>
      </c>
    </row>
    <row r="52" spans="1:6" ht="12">
      <c r="A52" s="22">
        <v>38717</v>
      </c>
      <c r="B52" s="15">
        <v>18430625.88</v>
      </c>
      <c r="C52" s="15">
        <f t="shared" si="1"/>
        <v>16937775.63</v>
      </c>
      <c r="D52" s="15">
        <v>1492850.25</v>
      </c>
      <c r="E52" s="16">
        <v>1576</v>
      </c>
      <c r="F52" s="15">
        <v>135.32000090645394</v>
      </c>
    </row>
    <row r="53" spans="1:6" ht="12">
      <c r="A53" s="22">
        <v>38724</v>
      </c>
      <c r="B53" s="15">
        <v>17610414.5</v>
      </c>
      <c r="C53" s="15">
        <f t="shared" si="1"/>
        <v>16366481.92</v>
      </c>
      <c r="D53" s="15">
        <v>1243932.58</v>
      </c>
      <c r="E53" s="16">
        <v>1576</v>
      </c>
      <c r="F53" s="15">
        <v>112.75676033357506</v>
      </c>
    </row>
    <row r="54" spans="1:6" ht="12">
      <c r="A54" s="22">
        <v>38731</v>
      </c>
      <c r="B54" s="15">
        <v>16197323.280000001</v>
      </c>
      <c r="C54" s="15">
        <f t="shared" si="1"/>
        <v>15027586.270000001</v>
      </c>
      <c r="D54" s="15">
        <v>1169737.01</v>
      </c>
      <c r="E54" s="16">
        <v>1576</v>
      </c>
      <c r="F54" s="15">
        <v>106.03127356780277</v>
      </c>
    </row>
    <row r="55" spans="1:6" ht="12">
      <c r="A55" s="22">
        <v>38738</v>
      </c>
      <c r="B55" s="15">
        <v>16990173.78</v>
      </c>
      <c r="C55" s="15">
        <f t="shared" si="1"/>
        <v>15755595.06</v>
      </c>
      <c r="D55" s="15">
        <v>1234578.72</v>
      </c>
      <c r="E55" s="16">
        <v>1576</v>
      </c>
      <c r="F55" s="15">
        <v>111.90887599709934</v>
      </c>
    </row>
    <row r="56" spans="1:6" ht="12">
      <c r="A56" s="22">
        <v>38745</v>
      </c>
      <c r="B56" s="15">
        <v>17363536.69</v>
      </c>
      <c r="C56" s="15">
        <f t="shared" si="1"/>
        <v>16059501.520000001</v>
      </c>
      <c r="D56" s="15">
        <v>1304035.17</v>
      </c>
      <c r="E56" s="16">
        <v>1576</v>
      </c>
      <c r="F56" s="15">
        <v>118.20478335750543</v>
      </c>
    </row>
    <row r="57" spans="1:6" ht="12">
      <c r="A57" s="22">
        <v>38752</v>
      </c>
      <c r="B57" s="15">
        <v>17667732.380000003</v>
      </c>
      <c r="C57" s="15">
        <f t="shared" si="1"/>
        <v>16384275.300000003</v>
      </c>
      <c r="D57" s="15">
        <v>1283457.08</v>
      </c>
      <c r="E57" s="16">
        <v>1576</v>
      </c>
      <c r="F57" s="15">
        <v>116.33947425670776</v>
      </c>
    </row>
    <row r="58" spans="1:6" ht="12">
      <c r="A58" s="22">
        <v>38759</v>
      </c>
      <c r="B58" s="15">
        <v>15644238.26</v>
      </c>
      <c r="C58" s="15">
        <f t="shared" si="1"/>
        <v>14502437.629999999</v>
      </c>
      <c r="D58" s="15">
        <v>1141800.63</v>
      </c>
      <c r="E58" s="16">
        <v>1576</v>
      </c>
      <c r="F58" s="15">
        <v>103.49896936185642</v>
      </c>
    </row>
    <row r="59" spans="1:6" ht="12">
      <c r="A59" s="22">
        <v>38766</v>
      </c>
      <c r="B59" s="15">
        <v>16773684.24</v>
      </c>
      <c r="C59" s="15">
        <f t="shared" si="1"/>
        <v>15544787.63</v>
      </c>
      <c r="D59" s="15">
        <v>1228896.61</v>
      </c>
      <c r="E59" s="16">
        <v>1576</v>
      </c>
      <c r="F59" s="15">
        <v>111.39381889050036</v>
      </c>
    </row>
    <row r="60" spans="1:6" ht="12">
      <c r="A60" s="22">
        <v>38773</v>
      </c>
      <c r="B60" s="15">
        <v>21842086.439999998</v>
      </c>
      <c r="C60" s="15">
        <f t="shared" si="1"/>
        <v>20116888.15</v>
      </c>
      <c r="D60" s="15">
        <v>1725198.29</v>
      </c>
      <c r="E60" s="16">
        <v>1576</v>
      </c>
      <c r="F60" s="15">
        <v>156.38128081943438</v>
      </c>
    </row>
    <row r="61" spans="1:6" ht="12">
      <c r="A61" s="22">
        <v>38780</v>
      </c>
      <c r="B61" s="15">
        <v>16801829.73</v>
      </c>
      <c r="C61" s="15">
        <f t="shared" si="1"/>
        <v>15491494.89</v>
      </c>
      <c r="D61" s="15">
        <v>1310334.84</v>
      </c>
      <c r="E61" s="16">
        <v>1576</v>
      </c>
      <c r="F61" s="15">
        <v>118.77581943437274</v>
      </c>
    </row>
    <row r="62" spans="1:6" ht="12">
      <c r="A62" s="22">
        <v>38787</v>
      </c>
      <c r="B62" s="15">
        <v>21310473.86</v>
      </c>
      <c r="C62" s="15">
        <f t="shared" si="1"/>
        <v>19707034.91</v>
      </c>
      <c r="D62" s="15">
        <v>1603438.95</v>
      </c>
      <c r="E62" s="16">
        <v>1576</v>
      </c>
      <c r="F62" s="15">
        <v>145.34435732414795</v>
      </c>
    </row>
    <row r="63" spans="1:6" ht="12">
      <c r="A63" s="22">
        <v>38794</v>
      </c>
      <c r="B63" s="15">
        <v>17862560.18</v>
      </c>
      <c r="C63" s="15">
        <f t="shared" si="1"/>
        <v>16561448.35</v>
      </c>
      <c r="D63" s="15">
        <v>1301111.83</v>
      </c>
      <c r="E63" s="16">
        <v>1576</v>
      </c>
      <c r="F63" s="15">
        <v>117.93979604786078</v>
      </c>
    </row>
    <row r="64" spans="1:6" ht="12">
      <c r="A64" s="22">
        <v>38801</v>
      </c>
      <c r="B64" s="15">
        <v>20036572.56</v>
      </c>
      <c r="C64" s="15">
        <f t="shared" si="1"/>
        <v>18472583.91</v>
      </c>
      <c r="D64" s="15">
        <v>1563988.65</v>
      </c>
      <c r="E64" s="16">
        <v>1576</v>
      </c>
      <c r="F64" s="15">
        <v>141.76836928934011</v>
      </c>
    </row>
    <row r="65" spans="1:6" ht="12">
      <c r="A65" s="22">
        <v>38808</v>
      </c>
      <c r="B65" s="15">
        <v>19342247.770000003</v>
      </c>
      <c r="C65" s="15">
        <f t="shared" si="1"/>
        <v>17813440.480000004</v>
      </c>
      <c r="D65" s="15">
        <v>1528807.29</v>
      </c>
      <c r="E65" s="16">
        <v>1576</v>
      </c>
      <c r="F65" s="15">
        <v>138.5793410079768</v>
      </c>
    </row>
    <row r="67" spans="1:6" ht="12.75" thickBot="1">
      <c r="A67" s="22" t="s">
        <v>8</v>
      </c>
      <c r="B67" s="17">
        <f>SUM(B13:B65)</f>
        <v>956455212.9799998</v>
      </c>
      <c r="C67" s="17">
        <f>SUM(C13:C65)</f>
        <v>883387642.3599998</v>
      </c>
      <c r="D67" s="17">
        <f>SUM(D13:D65)</f>
        <v>73067570.62000002</v>
      </c>
      <c r="E67" s="24">
        <f>SUM(E13:E65)/COUNT(E13:E65)</f>
        <v>1652.522911051213</v>
      </c>
      <c r="F67" s="17">
        <f>+D67/SUM(E13:E65)/7</f>
        <v>119.17996923759475</v>
      </c>
    </row>
    <row r="68" spans="1:4" s="21" customFormat="1" ht="12.75" thickTop="1">
      <c r="A68" s="22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monticellogamingandraceway.com"/>
  </hyperlinks>
  <printOptions horizontalCentered="1"/>
  <pageMargins left="0" right="0" top="0.5" bottom="0.5" header="0.5" footer="0.5"/>
  <pageSetup fitToHeight="1" fitToWidth="1" horizontalDpi="600" verticalDpi="600" orientation="portrait" scale="84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pane ySplit="11" topLeftCell="A57" activePane="bottomLeft" state="frozen"/>
      <selection pane="topLeft" activeCell="A1" sqref="A1"/>
      <selection pane="bottomLeft" activeCell="A3" sqref="A3:F3"/>
    </sheetView>
  </sheetViews>
  <sheetFormatPr defaultColWidth="9.140625" defaultRowHeight="12.75"/>
  <cols>
    <col min="1" max="1" width="15.57421875" style="22" customWidth="1"/>
    <col min="2" max="4" width="15.57421875" style="15" customWidth="1"/>
    <col min="5" max="5" width="15.57421875" style="16" customWidth="1"/>
    <col min="6" max="6" width="15.57421875" style="15" customWidth="1"/>
  </cols>
  <sheetData>
    <row r="1" spans="1:9" ht="18">
      <c r="A1" s="35" t="s">
        <v>16</v>
      </c>
      <c r="B1" s="35"/>
      <c r="C1" s="35"/>
      <c r="D1" s="35"/>
      <c r="E1" s="35"/>
      <c r="F1" s="35"/>
      <c r="G1" s="26"/>
      <c r="H1" s="26"/>
      <c r="I1" s="26"/>
    </row>
    <row r="2" spans="1:9" ht="15">
      <c r="A2" s="36" t="s">
        <v>17</v>
      </c>
      <c r="B2" s="36"/>
      <c r="C2" s="36"/>
      <c r="D2" s="36"/>
      <c r="E2" s="36"/>
      <c r="F2" s="36"/>
      <c r="G2" s="27"/>
      <c r="H2" s="27"/>
      <c r="I2" s="27"/>
    </row>
    <row r="3" spans="1:9" s="1" customFormat="1" ht="15">
      <c r="A3" s="36" t="s">
        <v>18</v>
      </c>
      <c r="B3" s="36"/>
      <c r="C3" s="36"/>
      <c r="D3" s="36"/>
      <c r="E3" s="36"/>
      <c r="F3" s="36"/>
      <c r="G3" s="27"/>
      <c r="H3" s="27"/>
      <c r="I3" s="27"/>
    </row>
    <row r="4" spans="1:9" s="1" customFormat="1" ht="13.5">
      <c r="A4" s="42" t="s">
        <v>19</v>
      </c>
      <c r="B4" s="42"/>
      <c r="C4" s="42"/>
      <c r="D4" s="42"/>
      <c r="E4" s="42"/>
      <c r="F4" s="42"/>
      <c r="G4" s="28"/>
      <c r="H4" s="28"/>
      <c r="I4" s="28"/>
    </row>
    <row r="5" spans="1:9" s="1" customFormat="1" ht="13.5">
      <c r="A5" s="38" t="s">
        <v>20</v>
      </c>
      <c r="B5" s="38"/>
      <c r="C5" s="38"/>
      <c r="D5" s="38"/>
      <c r="E5" s="38"/>
      <c r="F5" s="38"/>
      <c r="G5" s="29"/>
      <c r="H5" s="29"/>
      <c r="I5" s="29"/>
    </row>
    <row r="6" spans="1:6" s="1" customFormat="1" ht="13.5">
      <c r="A6" s="31"/>
      <c r="B6" s="2"/>
      <c r="C6" s="2"/>
      <c r="D6" s="2"/>
      <c r="E6" s="2"/>
      <c r="F6" s="2"/>
    </row>
    <row r="7" spans="1:6" s="1" customFormat="1" ht="12">
      <c r="A7" s="22"/>
      <c r="B7" s="4"/>
      <c r="C7" s="4"/>
      <c r="D7" s="5"/>
      <c r="E7" s="6"/>
      <c r="F7" s="5"/>
    </row>
    <row r="8" spans="1:6" s="7" customFormat="1" ht="14.25" customHeight="1">
      <c r="A8" s="39" t="s">
        <v>22</v>
      </c>
      <c r="B8" s="40"/>
      <c r="C8" s="40"/>
      <c r="D8" s="40"/>
      <c r="E8" s="40"/>
      <c r="F8" s="41"/>
    </row>
    <row r="9" spans="1:6" s="1" customFormat="1" ht="9" customHeight="1">
      <c r="A9" s="22"/>
      <c r="B9" s="4"/>
      <c r="C9" s="4"/>
      <c r="D9" s="5"/>
      <c r="E9" s="6"/>
      <c r="F9" s="5"/>
    </row>
    <row r="10" spans="1:6" s="12" customFormat="1" ht="11.25">
      <c r="A10" s="32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1.25">
      <c r="A11" s="3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">
      <c r="A13" s="22">
        <v>38080</v>
      </c>
      <c r="B13" s="15">
        <v>0</v>
      </c>
      <c r="C13" s="15">
        <v>0</v>
      </c>
      <c r="D13" s="15">
        <v>0</v>
      </c>
      <c r="E13" s="16">
        <v>0</v>
      </c>
      <c r="F13" s="15">
        <v>0</v>
      </c>
    </row>
    <row r="14" spans="1:6" ht="12">
      <c r="A14" s="22">
        <v>38087</v>
      </c>
      <c r="B14" s="15">
        <v>0</v>
      </c>
      <c r="C14" s="15">
        <v>0</v>
      </c>
      <c r="D14" s="15">
        <v>0</v>
      </c>
      <c r="E14" s="16">
        <v>0</v>
      </c>
      <c r="F14" s="15">
        <v>0</v>
      </c>
    </row>
    <row r="15" spans="1:6" ht="12">
      <c r="A15" s="22">
        <v>38094</v>
      </c>
      <c r="B15" s="15">
        <v>0</v>
      </c>
      <c r="C15" s="15">
        <v>0</v>
      </c>
      <c r="D15" s="15">
        <v>0</v>
      </c>
      <c r="E15" s="16">
        <v>0</v>
      </c>
      <c r="F15" s="15">
        <v>0</v>
      </c>
    </row>
    <row r="16" spans="1:6" ht="12">
      <c r="A16" s="22">
        <v>38101</v>
      </c>
      <c r="B16" s="15">
        <v>0</v>
      </c>
      <c r="C16" s="15">
        <v>0</v>
      </c>
      <c r="D16" s="15">
        <v>0</v>
      </c>
      <c r="E16" s="16">
        <v>0</v>
      </c>
      <c r="F16" s="15">
        <v>0</v>
      </c>
    </row>
    <row r="17" spans="1:6" ht="12">
      <c r="A17" s="22">
        <v>38108</v>
      </c>
      <c r="B17" s="15">
        <v>0</v>
      </c>
      <c r="C17" s="15">
        <v>0</v>
      </c>
      <c r="D17" s="15">
        <v>0</v>
      </c>
      <c r="E17" s="16">
        <v>0</v>
      </c>
      <c r="F17" s="15">
        <v>0</v>
      </c>
    </row>
    <row r="18" spans="1:6" ht="12">
      <c r="A18" s="22">
        <v>38115</v>
      </c>
      <c r="B18" s="15">
        <v>0</v>
      </c>
      <c r="C18" s="15">
        <v>0</v>
      </c>
      <c r="D18" s="15">
        <v>0</v>
      </c>
      <c r="E18" s="16">
        <v>0</v>
      </c>
      <c r="F18" s="15">
        <v>0</v>
      </c>
    </row>
    <row r="19" spans="1:6" ht="12">
      <c r="A19" s="22">
        <v>38122</v>
      </c>
      <c r="B19" s="15">
        <v>0</v>
      </c>
      <c r="C19" s="15">
        <v>0</v>
      </c>
      <c r="D19" s="15">
        <v>0</v>
      </c>
      <c r="E19" s="16">
        <v>0</v>
      </c>
      <c r="F19" s="15">
        <v>0</v>
      </c>
    </row>
    <row r="20" spans="1:6" ht="12">
      <c r="A20" s="22">
        <v>38129</v>
      </c>
      <c r="B20" s="15">
        <v>0</v>
      </c>
      <c r="C20" s="15">
        <v>0</v>
      </c>
      <c r="D20" s="15">
        <v>0</v>
      </c>
      <c r="E20" s="16">
        <v>0</v>
      </c>
      <c r="F20" s="15">
        <v>0</v>
      </c>
    </row>
    <row r="21" spans="1:6" ht="12">
      <c r="A21" s="22">
        <v>38136</v>
      </c>
      <c r="B21" s="15">
        <v>0</v>
      </c>
      <c r="C21" s="15">
        <v>0</v>
      </c>
      <c r="D21" s="15">
        <v>0</v>
      </c>
      <c r="E21" s="16">
        <v>0</v>
      </c>
      <c r="F21" s="15">
        <v>0</v>
      </c>
    </row>
    <row r="22" spans="1:6" ht="12">
      <c r="A22" s="22">
        <v>38143</v>
      </c>
      <c r="B22" s="15">
        <v>0</v>
      </c>
      <c r="C22" s="15">
        <v>0</v>
      </c>
      <c r="D22" s="15">
        <v>0</v>
      </c>
      <c r="E22" s="16">
        <v>0</v>
      </c>
      <c r="F22" s="15">
        <v>0</v>
      </c>
    </row>
    <row r="23" spans="1:6" ht="12">
      <c r="A23" s="22">
        <v>38150</v>
      </c>
      <c r="B23" s="15">
        <v>0</v>
      </c>
      <c r="C23" s="15">
        <v>0</v>
      </c>
      <c r="D23" s="15">
        <v>0</v>
      </c>
      <c r="E23" s="16">
        <v>0</v>
      </c>
      <c r="F23" s="15">
        <v>0</v>
      </c>
    </row>
    <row r="24" spans="1:6" ht="12">
      <c r="A24" s="22">
        <v>38157</v>
      </c>
      <c r="B24" s="15">
        <v>0</v>
      </c>
      <c r="C24" s="15">
        <v>0</v>
      </c>
      <c r="D24" s="15">
        <v>0</v>
      </c>
      <c r="E24" s="16">
        <v>0</v>
      </c>
      <c r="F24" s="15">
        <v>0</v>
      </c>
    </row>
    <row r="25" spans="1:6" ht="12">
      <c r="A25" s="22">
        <v>38164</v>
      </c>
      <c r="B25" s="15">
        <v>0</v>
      </c>
      <c r="C25" s="15">
        <v>0</v>
      </c>
      <c r="D25" s="15">
        <v>0</v>
      </c>
      <c r="E25" s="16">
        <v>0</v>
      </c>
      <c r="F25" s="15">
        <v>0</v>
      </c>
    </row>
    <row r="26" spans="1:6" ht="12">
      <c r="A26" s="22">
        <v>38171</v>
      </c>
      <c r="B26" s="15">
        <v>12249442.45</v>
      </c>
      <c r="C26" s="15">
        <f aca="true" t="shared" si="0" ref="C26:C64">+B26-D26</f>
        <v>11272509.2</v>
      </c>
      <c r="D26" s="15">
        <v>976933.25</v>
      </c>
      <c r="E26" s="16">
        <v>1743</v>
      </c>
      <c r="F26" s="15">
        <v>140.12238238668962</v>
      </c>
    </row>
    <row r="27" spans="1:6" ht="12">
      <c r="A27" s="22">
        <v>38178</v>
      </c>
      <c r="B27" s="15">
        <v>20643358.55</v>
      </c>
      <c r="C27" s="15">
        <f t="shared" si="0"/>
        <v>19065239.25</v>
      </c>
      <c r="D27" s="15">
        <v>1578119.3</v>
      </c>
      <c r="E27" s="16">
        <v>1743</v>
      </c>
      <c r="F27" s="15">
        <v>129.34343906237194</v>
      </c>
    </row>
    <row r="28" spans="1:6" ht="12">
      <c r="A28" s="22">
        <v>38185</v>
      </c>
      <c r="B28" s="15">
        <v>17344125.45</v>
      </c>
      <c r="C28" s="15">
        <f t="shared" si="0"/>
        <v>16058090.7</v>
      </c>
      <c r="D28" s="15">
        <v>1286034.75</v>
      </c>
      <c r="E28" s="16">
        <v>1743</v>
      </c>
      <c r="F28" s="15">
        <v>105.40404475043029</v>
      </c>
    </row>
    <row r="29" spans="1:6" ht="12">
      <c r="A29" s="22">
        <v>38192</v>
      </c>
      <c r="B29" s="15">
        <v>17713262.849999998</v>
      </c>
      <c r="C29" s="15">
        <f t="shared" si="0"/>
        <v>16293720.299999997</v>
      </c>
      <c r="D29" s="15">
        <v>1419542.55</v>
      </c>
      <c r="E29" s="16">
        <v>1743.142857142857</v>
      </c>
      <c r="F29" s="15">
        <v>116.3368751024422</v>
      </c>
    </row>
    <row r="30" spans="1:6" ht="12">
      <c r="A30" s="22">
        <v>38199</v>
      </c>
      <c r="B30" s="15">
        <v>17858098.29</v>
      </c>
      <c r="C30" s="15">
        <f t="shared" si="0"/>
        <v>16428316.079999998</v>
      </c>
      <c r="D30" s="15">
        <v>1429782.21</v>
      </c>
      <c r="E30" s="16">
        <v>1744</v>
      </c>
      <c r="F30" s="15">
        <v>117.11846412188729</v>
      </c>
    </row>
    <row r="31" spans="1:6" ht="12">
      <c r="A31" s="22">
        <v>38206</v>
      </c>
      <c r="B31" s="15">
        <v>18165941.05</v>
      </c>
      <c r="C31" s="15">
        <f t="shared" si="0"/>
        <v>16787871.16</v>
      </c>
      <c r="D31" s="15">
        <v>1378069.89</v>
      </c>
      <c r="E31" s="16">
        <v>1744</v>
      </c>
      <c r="F31" s="15">
        <v>112.88252703145477</v>
      </c>
    </row>
    <row r="32" spans="1:6" ht="12">
      <c r="A32" s="22">
        <v>38213</v>
      </c>
      <c r="B32" s="15">
        <v>17863127.970000003</v>
      </c>
      <c r="C32" s="15">
        <f t="shared" si="0"/>
        <v>16437559.830000002</v>
      </c>
      <c r="D32" s="15">
        <v>1425568.14</v>
      </c>
      <c r="E32" s="16">
        <v>1744</v>
      </c>
      <c r="F32" s="15">
        <v>116.77327490170381</v>
      </c>
    </row>
    <row r="33" spans="1:6" ht="12">
      <c r="A33" s="22">
        <v>38220</v>
      </c>
      <c r="B33" s="15">
        <v>18686310.03</v>
      </c>
      <c r="C33" s="15">
        <f t="shared" si="0"/>
        <v>17248796.77</v>
      </c>
      <c r="D33" s="15">
        <v>1437513.26</v>
      </c>
      <c r="E33" s="16">
        <v>1744</v>
      </c>
      <c r="F33" s="15">
        <v>117.75174148099609</v>
      </c>
    </row>
    <row r="34" spans="1:6" ht="12">
      <c r="A34" s="22">
        <v>38227</v>
      </c>
      <c r="B34" s="15">
        <v>18998986.13</v>
      </c>
      <c r="C34" s="15">
        <f t="shared" si="0"/>
        <v>17523939.23</v>
      </c>
      <c r="D34" s="15">
        <v>1475046.9</v>
      </c>
      <c r="E34" s="16">
        <v>1744</v>
      </c>
      <c r="F34" s="15">
        <v>120.82625327653999</v>
      </c>
    </row>
    <row r="35" spans="1:6" ht="12">
      <c r="A35" s="22">
        <v>38234</v>
      </c>
      <c r="B35" s="15">
        <v>18250238.95</v>
      </c>
      <c r="C35" s="15">
        <f t="shared" si="0"/>
        <v>16820556.29</v>
      </c>
      <c r="D35" s="15">
        <v>1429682.66</v>
      </c>
      <c r="E35" s="16">
        <v>1744</v>
      </c>
      <c r="F35" s="15">
        <v>117.11030963302751</v>
      </c>
    </row>
    <row r="36" spans="1:6" ht="12">
      <c r="A36" s="22">
        <v>38241</v>
      </c>
      <c r="B36" s="15">
        <v>19614019.54</v>
      </c>
      <c r="C36" s="15">
        <f t="shared" si="0"/>
        <v>18086326.93</v>
      </c>
      <c r="D36" s="15">
        <v>1527692.61</v>
      </c>
      <c r="E36" s="16">
        <v>1744</v>
      </c>
      <c r="F36" s="15">
        <v>125.13864760812582</v>
      </c>
    </row>
    <row r="37" spans="1:6" ht="12">
      <c r="A37" s="22">
        <v>38248</v>
      </c>
      <c r="B37" s="15">
        <v>15463288.77</v>
      </c>
      <c r="C37" s="15">
        <f t="shared" si="0"/>
        <v>14209646.43</v>
      </c>
      <c r="D37" s="15">
        <v>1253642.34</v>
      </c>
      <c r="E37" s="16">
        <v>1744</v>
      </c>
      <c r="F37" s="15">
        <v>102.69023099606814</v>
      </c>
    </row>
    <row r="38" spans="1:6" ht="12">
      <c r="A38" s="22">
        <v>38255</v>
      </c>
      <c r="B38" s="15">
        <v>15094953.68</v>
      </c>
      <c r="C38" s="15">
        <f t="shared" si="0"/>
        <v>14028303.84</v>
      </c>
      <c r="D38" s="15">
        <v>1066649.84</v>
      </c>
      <c r="E38" s="16">
        <v>1744</v>
      </c>
      <c r="F38" s="15">
        <v>87.37302096985582</v>
      </c>
    </row>
    <row r="39" spans="1:6" ht="12">
      <c r="A39" s="22">
        <v>38262</v>
      </c>
      <c r="B39" s="15">
        <v>17088962.27</v>
      </c>
      <c r="C39" s="15">
        <f t="shared" si="0"/>
        <v>15772689.379999999</v>
      </c>
      <c r="D39" s="15">
        <v>1316272.89</v>
      </c>
      <c r="E39" s="16">
        <v>1744</v>
      </c>
      <c r="F39" s="15">
        <v>107.82051851245086</v>
      </c>
    </row>
    <row r="40" spans="1:6" ht="12">
      <c r="A40" s="22">
        <v>38269</v>
      </c>
      <c r="B40" s="15">
        <v>15954841.1</v>
      </c>
      <c r="C40" s="15">
        <f t="shared" si="0"/>
        <v>14804421.35</v>
      </c>
      <c r="D40" s="15">
        <v>1150419.75</v>
      </c>
      <c r="E40" s="16">
        <v>1744</v>
      </c>
      <c r="F40" s="15">
        <v>94.23490743774575</v>
      </c>
    </row>
    <row r="41" spans="1:6" ht="12">
      <c r="A41" s="22">
        <v>38276</v>
      </c>
      <c r="B41" s="15">
        <v>16690202.93</v>
      </c>
      <c r="C41" s="15">
        <f t="shared" si="0"/>
        <v>15405937.8</v>
      </c>
      <c r="D41" s="15">
        <v>1284265.13</v>
      </c>
      <c r="E41" s="16">
        <v>1744</v>
      </c>
      <c r="F41" s="15">
        <v>105.19865088466578</v>
      </c>
    </row>
    <row r="42" spans="1:6" ht="12">
      <c r="A42" s="22">
        <v>38283</v>
      </c>
      <c r="B42" s="15">
        <v>15079708.87</v>
      </c>
      <c r="C42" s="15">
        <f t="shared" si="0"/>
        <v>13949682.549999999</v>
      </c>
      <c r="D42" s="15">
        <v>1130026.32</v>
      </c>
      <c r="E42" s="16">
        <v>1744</v>
      </c>
      <c r="F42" s="15">
        <v>92.56441022280472</v>
      </c>
    </row>
    <row r="43" spans="1:6" ht="12">
      <c r="A43" s="22">
        <v>38290</v>
      </c>
      <c r="B43" s="15">
        <v>15540228.49</v>
      </c>
      <c r="C43" s="15">
        <f t="shared" si="0"/>
        <v>14370944.08</v>
      </c>
      <c r="D43" s="15">
        <v>1169284.41</v>
      </c>
      <c r="E43" s="16">
        <v>1744</v>
      </c>
      <c r="F43" s="15">
        <v>95.78017775229357</v>
      </c>
    </row>
    <row r="44" spans="1:6" ht="12">
      <c r="A44" s="22">
        <v>38297</v>
      </c>
      <c r="B44" s="15">
        <v>15626276.41</v>
      </c>
      <c r="C44" s="15">
        <f t="shared" si="0"/>
        <v>14583819.28</v>
      </c>
      <c r="D44" s="15">
        <v>1042457.13</v>
      </c>
      <c r="E44" s="16">
        <v>1744</v>
      </c>
      <c r="F44" s="15">
        <v>85.39131143512452</v>
      </c>
    </row>
    <row r="45" spans="1:6" ht="12">
      <c r="A45" s="22">
        <v>38304</v>
      </c>
      <c r="B45" s="15">
        <v>14435519.790000001</v>
      </c>
      <c r="C45" s="15">
        <f t="shared" si="0"/>
        <v>13426784.99</v>
      </c>
      <c r="D45" s="15">
        <v>1008734.8</v>
      </c>
      <c r="E45" s="16">
        <v>1744</v>
      </c>
      <c r="F45" s="15">
        <v>82.62899737876802</v>
      </c>
    </row>
    <row r="46" spans="1:6" ht="12">
      <c r="A46" s="22">
        <v>38311</v>
      </c>
      <c r="B46" s="15">
        <v>13394402.73</v>
      </c>
      <c r="C46" s="15">
        <f t="shared" si="0"/>
        <v>12394488.450000001</v>
      </c>
      <c r="D46" s="15">
        <v>999914.28</v>
      </c>
      <c r="E46" s="16">
        <v>1744</v>
      </c>
      <c r="F46" s="15">
        <v>81.90647771952818</v>
      </c>
    </row>
    <row r="47" spans="1:6" ht="12">
      <c r="A47" s="22">
        <v>38318</v>
      </c>
      <c r="B47" s="15">
        <v>15628258.47</v>
      </c>
      <c r="C47" s="15">
        <f t="shared" si="0"/>
        <v>14375373.940000001</v>
      </c>
      <c r="D47" s="15">
        <v>1252884.53</v>
      </c>
      <c r="E47" s="16">
        <v>1744</v>
      </c>
      <c r="F47" s="15">
        <v>102.62815612712976</v>
      </c>
    </row>
    <row r="48" spans="1:6" ht="12">
      <c r="A48" s="22">
        <v>38325</v>
      </c>
      <c r="B48" s="15">
        <v>13002474.88</v>
      </c>
      <c r="C48" s="15">
        <f t="shared" si="0"/>
        <v>11965784.507000001</v>
      </c>
      <c r="D48" s="15">
        <v>1036690.3729999999</v>
      </c>
      <c r="E48" s="16">
        <v>1744</v>
      </c>
      <c r="F48" s="15">
        <v>84.918936189384</v>
      </c>
    </row>
    <row r="49" spans="1:6" ht="12">
      <c r="A49" s="22">
        <v>38332</v>
      </c>
      <c r="B49" s="15">
        <v>11001800.690000001</v>
      </c>
      <c r="C49" s="15">
        <f t="shared" si="0"/>
        <v>10150178.780000001</v>
      </c>
      <c r="D49" s="15">
        <v>851621.91</v>
      </c>
      <c r="E49" s="16">
        <v>1744</v>
      </c>
      <c r="F49" s="15">
        <v>69.75933076671036</v>
      </c>
    </row>
    <row r="50" spans="1:6" ht="12">
      <c r="A50" s="22">
        <v>38339</v>
      </c>
      <c r="B50" s="15">
        <v>10315847.17</v>
      </c>
      <c r="C50" s="15">
        <f t="shared" si="0"/>
        <v>9552396.98</v>
      </c>
      <c r="D50" s="15">
        <v>763450.19</v>
      </c>
      <c r="E50" s="16">
        <v>1744</v>
      </c>
      <c r="F50" s="15">
        <v>62.536876638269995</v>
      </c>
    </row>
    <row r="51" spans="1:6" ht="12">
      <c r="A51" s="22">
        <v>38346</v>
      </c>
      <c r="B51" s="15">
        <v>8077901.210000001</v>
      </c>
      <c r="C51" s="15">
        <f t="shared" si="0"/>
        <v>7486799.050000001</v>
      </c>
      <c r="D51" s="15">
        <v>591102.16</v>
      </c>
      <c r="E51" s="16">
        <v>1744</v>
      </c>
      <c r="F51" s="15">
        <v>48.419246395806034</v>
      </c>
    </row>
    <row r="52" spans="1:6" ht="12">
      <c r="A52" s="22">
        <v>38353</v>
      </c>
      <c r="B52" s="15">
        <v>18316339.009999998</v>
      </c>
      <c r="C52" s="15">
        <f t="shared" si="0"/>
        <v>16897874.83</v>
      </c>
      <c r="D52" s="15">
        <v>1418464.18</v>
      </c>
      <c r="E52" s="16">
        <v>1744</v>
      </c>
      <c r="F52" s="15">
        <v>116.19136467889908</v>
      </c>
    </row>
    <row r="53" spans="1:6" ht="12">
      <c r="A53" s="22">
        <v>38360</v>
      </c>
      <c r="B53" s="15">
        <v>9631137.959999999</v>
      </c>
      <c r="C53" s="15">
        <f t="shared" si="0"/>
        <v>8926581.43</v>
      </c>
      <c r="D53" s="15">
        <v>704556.53</v>
      </c>
      <c r="E53" s="16">
        <v>1744</v>
      </c>
      <c r="F53" s="15">
        <v>57.71269085845346</v>
      </c>
    </row>
    <row r="54" spans="1:6" ht="12">
      <c r="A54" s="22">
        <v>38367</v>
      </c>
      <c r="B54" s="15">
        <v>12179928.17</v>
      </c>
      <c r="C54" s="15">
        <f t="shared" si="0"/>
        <v>11317281.08</v>
      </c>
      <c r="D54" s="15">
        <v>862647.09</v>
      </c>
      <c r="E54" s="16">
        <v>1744</v>
      </c>
      <c r="F54" s="15">
        <v>70.66244184141547</v>
      </c>
    </row>
    <row r="55" spans="1:6" ht="12">
      <c r="A55" s="22">
        <v>38374</v>
      </c>
      <c r="B55" s="15">
        <v>9687277.16</v>
      </c>
      <c r="C55" s="15">
        <f t="shared" si="0"/>
        <v>8950648.09</v>
      </c>
      <c r="D55" s="15">
        <v>736629.07</v>
      </c>
      <c r="E55" s="16">
        <v>1744</v>
      </c>
      <c r="F55" s="15">
        <v>60.33986484272609</v>
      </c>
    </row>
    <row r="56" spans="1:6" ht="12">
      <c r="A56" s="22">
        <v>38381</v>
      </c>
      <c r="B56" s="15">
        <v>11366520.149999999</v>
      </c>
      <c r="C56" s="15">
        <f t="shared" si="0"/>
        <v>10482857.519999998</v>
      </c>
      <c r="D56" s="15">
        <v>883662.63</v>
      </c>
      <c r="E56" s="16">
        <v>1744</v>
      </c>
      <c r="F56" s="15">
        <v>72.38389826343382</v>
      </c>
    </row>
    <row r="57" spans="1:6" ht="12">
      <c r="A57" s="22">
        <v>38388</v>
      </c>
      <c r="B57" s="15">
        <v>15885329.490000002</v>
      </c>
      <c r="C57" s="15">
        <f t="shared" si="0"/>
        <v>14719283.900000002</v>
      </c>
      <c r="D57" s="15">
        <v>1166045.59</v>
      </c>
      <c r="E57" s="16">
        <v>1744</v>
      </c>
      <c r="F57" s="15">
        <v>95.51487467234601</v>
      </c>
    </row>
    <row r="58" spans="1:6" ht="12">
      <c r="A58" s="22">
        <v>38395</v>
      </c>
      <c r="B58" s="15">
        <v>14032748.110000001</v>
      </c>
      <c r="C58" s="15">
        <f t="shared" si="0"/>
        <v>13009422.98</v>
      </c>
      <c r="D58" s="15">
        <v>1023325.13</v>
      </c>
      <c r="E58" s="16">
        <v>1744</v>
      </c>
      <c r="F58" s="15">
        <v>83.82414236566186</v>
      </c>
    </row>
    <row r="59" spans="1:6" ht="12">
      <c r="A59" s="22">
        <v>38402</v>
      </c>
      <c r="B59" s="15">
        <v>16482574.809999999</v>
      </c>
      <c r="C59" s="15">
        <f t="shared" si="0"/>
        <v>15234883.86</v>
      </c>
      <c r="D59" s="15">
        <v>1247690.95</v>
      </c>
      <c r="E59" s="16">
        <v>1744</v>
      </c>
      <c r="F59" s="15">
        <v>102.20273181520314</v>
      </c>
    </row>
    <row r="60" spans="1:6" ht="12">
      <c r="A60" s="22">
        <v>38409</v>
      </c>
      <c r="B60" s="15">
        <v>15682835.940000001</v>
      </c>
      <c r="C60" s="15">
        <f t="shared" si="0"/>
        <v>14620832.170000002</v>
      </c>
      <c r="D60" s="15">
        <v>1062003.77</v>
      </c>
      <c r="E60" s="16">
        <v>1744</v>
      </c>
      <c r="F60" s="15">
        <v>86.99244511795544</v>
      </c>
    </row>
    <row r="61" spans="1:6" ht="12">
      <c r="A61" s="22">
        <v>38416</v>
      </c>
      <c r="B61" s="15">
        <v>15194848.06</v>
      </c>
      <c r="C61" s="15">
        <f t="shared" si="0"/>
        <v>14075908.32</v>
      </c>
      <c r="D61" s="15">
        <v>1118939.74</v>
      </c>
      <c r="E61" s="16">
        <v>1744</v>
      </c>
      <c r="F61" s="15">
        <v>91.65626965923984</v>
      </c>
    </row>
    <row r="62" spans="1:6" ht="12">
      <c r="A62" s="22">
        <v>38423</v>
      </c>
      <c r="B62" s="15">
        <v>13869451.879999999</v>
      </c>
      <c r="C62" s="15">
        <f t="shared" si="0"/>
        <v>12805392.329999998</v>
      </c>
      <c r="D62" s="15">
        <v>1064059.55</v>
      </c>
      <c r="E62" s="16">
        <v>1744</v>
      </c>
      <c r="F62" s="15">
        <v>87.16084125163827</v>
      </c>
    </row>
    <row r="63" spans="1:6" ht="12">
      <c r="A63" s="22">
        <v>38430</v>
      </c>
      <c r="B63" s="15">
        <v>16224974.030000001</v>
      </c>
      <c r="C63" s="15">
        <f t="shared" si="0"/>
        <v>15048018.740000002</v>
      </c>
      <c r="D63" s="15">
        <v>1176955.29</v>
      </c>
      <c r="E63" s="16">
        <v>1744</v>
      </c>
      <c r="F63" s="15">
        <v>96.4085263761468</v>
      </c>
    </row>
    <row r="64" spans="1:6" ht="12">
      <c r="A64" s="22">
        <v>38437</v>
      </c>
      <c r="B64" s="15">
        <v>15351890.559999999</v>
      </c>
      <c r="C64" s="15">
        <f t="shared" si="0"/>
        <v>14182768.459999999</v>
      </c>
      <c r="D64" s="15">
        <v>1169122.1</v>
      </c>
      <c r="E64" s="16">
        <v>1744</v>
      </c>
      <c r="F64" s="15">
        <v>95.76688237221495</v>
      </c>
    </row>
    <row r="66" spans="1:6" ht="12.75" thickBot="1">
      <c r="A66" s="22" t="s">
        <v>8</v>
      </c>
      <c r="B66" s="17">
        <f>SUM(B26:B64)</f>
        <v>593687434.05</v>
      </c>
      <c r="C66" s="17">
        <f>SUM(C26:C64)</f>
        <v>548771930.857</v>
      </c>
      <c r="D66" s="17">
        <f>SUM(D26:D64)</f>
        <v>44915503.19300002</v>
      </c>
      <c r="E66" s="24">
        <f>SUM(E26:E64)/COUNT(E26:E64)</f>
        <v>1743.9010989010987</v>
      </c>
      <c r="F66" s="17">
        <v>95</v>
      </c>
    </row>
    <row r="67" spans="1:4" s="21" customFormat="1" ht="12.75" thickTop="1">
      <c r="A67" s="22"/>
      <c r="B67" s="20"/>
      <c r="C67" s="20"/>
      <c r="D67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monticellogamingand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N20" sqref="N20"/>
    </sheetView>
  </sheetViews>
  <sheetFormatPr defaultColWidth="9.140625" defaultRowHeight="12.75"/>
  <cols>
    <col min="1" max="1" width="15.140625" style="3" customWidth="1"/>
    <col min="2" max="5" width="15.140625" style="15" customWidth="1"/>
    <col min="6" max="6" width="15.140625" style="16" customWidth="1"/>
    <col min="7" max="7" width="15.140625" style="15" customWidth="1"/>
  </cols>
  <sheetData>
    <row r="1" spans="1:11" ht="18">
      <c r="A1" s="35" t="s">
        <v>16</v>
      </c>
      <c r="B1" s="35"/>
      <c r="C1" s="35"/>
      <c r="D1" s="35"/>
      <c r="E1" s="35"/>
      <c r="F1" s="35"/>
      <c r="G1" s="35"/>
      <c r="H1" s="26"/>
      <c r="I1" s="26"/>
      <c r="J1" s="26"/>
      <c r="K1" s="26"/>
    </row>
    <row r="2" spans="1:11" ht="15">
      <c r="A2" s="36" t="s">
        <v>17</v>
      </c>
      <c r="B2" s="36"/>
      <c r="C2" s="36"/>
      <c r="D2" s="36"/>
      <c r="E2" s="36"/>
      <c r="F2" s="36"/>
      <c r="G2" s="36"/>
      <c r="H2" s="27"/>
      <c r="I2" s="27"/>
      <c r="J2" s="27"/>
      <c r="K2" s="27"/>
    </row>
    <row r="3" spans="1:11" s="1" customFormat="1" ht="15">
      <c r="A3" s="36" t="s">
        <v>18</v>
      </c>
      <c r="B3" s="36"/>
      <c r="C3" s="36"/>
      <c r="D3" s="36"/>
      <c r="E3" s="36"/>
      <c r="F3" s="36"/>
      <c r="G3" s="36"/>
      <c r="H3" s="27"/>
      <c r="I3" s="27"/>
      <c r="J3" s="27"/>
      <c r="K3" s="27"/>
    </row>
    <row r="4" spans="1:11" s="1" customFormat="1" ht="15">
      <c r="A4" s="37" t="s">
        <v>27</v>
      </c>
      <c r="B4" s="37"/>
      <c r="C4" s="37"/>
      <c r="D4" s="37"/>
      <c r="E4" s="37"/>
      <c r="F4" s="37"/>
      <c r="G4" s="37"/>
      <c r="H4" s="28"/>
      <c r="I4" s="28"/>
      <c r="J4" s="28"/>
      <c r="K4" s="28"/>
    </row>
    <row r="5" spans="1:11" s="1" customFormat="1" ht="13.5">
      <c r="A5" s="38" t="s">
        <v>20</v>
      </c>
      <c r="B5" s="38"/>
      <c r="C5" s="38"/>
      <c r="D5" s="38"/>
      <c r="E5" s="38"/>
      <c r="F5" s="38"/>
      <c r="G5" s="38"/>
      <c r="H5" s="29"/>
      <c r="I5" s="29"/>
      <c r="J5" s="29"/>
      <c r="K5" s="29"/>
    </row>
    <row r="6" spans="1:11" s="1" customFormat="1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7" customFormat="1" ht="14.25" customHeight="1">
      <c r="A7" s="39" t="s">
        <v>34</v>
      </c>
      <c r="B7" s="40"/>
      <c r="C7" s="40"/>
      <c r="D7" s="40"/>
      <c r="E7" s="40"/>
      <c r="F7" s="40"/>
      <c r="G7" s="41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1.25">
      <c r="A9" s="9"/>
      <c r="B9" s="10" t="s">
        <v>0</v>
      </c>
      <c r="C9" s="10" t="s">
        <v>21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1.25">
      <c r="A10" s="13" t="s">
        <v>11</v>
      </c>
      <c r="B10" s="8" t="s">
        <v>3</v>
      </c>
      <c r="C10" s="8" t="s">
        <v>26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">
      <c r="A12" s="22">
        <v>43554</v>
      </c>
      <c r="B12" s="15">
        <v>4689760</v>
      </c>
      <c r="C12" s="15">
        <v>0</v>
      </c>
      <c r="D12" s="15">
        <f aca="true" t="shared" si="0" ref="D12:D63">IF(ISBLANK(B12),"",B12-C12-E12)</f>
        <v>4298074</v>
      </c>
      <c r="E12" s="15">
        <v>391686</v>
      </c>
      <c r="F12" s="16">
        <f>7630/7</f>
        <v>1090</v>
      </c>
      <c r="G12" s="15">
        <f>IF(ISBLANK(B12),"",E12/F12/7)</f>
        <v>51.33499344692005</v>
      </c>
    </row>
    <row r="13" spans="1:7" ht="12">
      <c r="A13" s="22">
        <f aca="true" t="shared" si="1" ref="A13:A63">+A12+7</f>
        <v>43561</v>
      </c>
      <c r="B13" s="15">
        <v>4382377.79</v>
      </c>
      <c r="C13" s="15">
        <v>0</v>
      </c>
      <c r="D13" s="15">
        <f t="shared" si="0"/>
        <v>4110885.6</v>
      </c>
      <c r="E13" s="15">
        <v>271492.19</v>
      </c>
      <c r="F13" s="16">
        <f>7468/7</f>
        <v>1066.857142857143</v>
      </c>
      <c r="G13" s="15">
        <f aca="true" t="shared" si="2" ref="G13:G63">IF(ISBLANK(B13),"",E13/F13/7)</f>
        <v>36.35406936261382</v>
      </c>
    </row>
    <row r="14" spans="1:7" ht="12">
      <c r="A14" s="22">
        <f t="shared" si="1"/>
        <v>43568</v>
      </c>
      <c r="B14" s="15">
        <v>4113588.56</v>
      </c>
      <c r="C14" s="15">
        <f>0-1630</f>
        <v>-1630</v>
      </c>
      <c r="D14" s="15">
        <f t="shared" si="0"/>
        <v>3812202.4</v>
      </c>
      <c r="E14" s="15">
        <v>303016.16</v>
      </c>
      <c r="F14" s="16">
        <f>7371/7</f>
        <v>1053</v>
      </c>
      <c r="G14" s="15">
        <f t="shared" si="2"/>
        <v>41.109233482566815</v>
      </c>
    </row>
    <row r="15" spans="1:7" ht="12">
      <c r="A15" s="22">
        <f t="shared" si="1"/>
        <v>43575</v>
      </c>
      <c r="B15" s="15">
        <v>4384362</v>
      </c>
      <c r="C15" s="15">
        <v>0</v>
      </c>
      <c r="D15" s="15">
        <f t="shared" si="0"/>
        <v>4062291</v>
      </c>
      <c r="E15" s="15">
        <v>322071</v>
      </c>
      <c r="F15" s="16">
        <f>7371/7</f>
        <v>1053</v>
      </c>
      <c r="G15" s="15">
        <f t="shared" si="2"/>
        <v>43.694342694342694</v>
      </c>
    </row>
    <row r="16" spans="1:7" ht="12">
      <c r="A16" s="22">
        <f t="shared" si="1"/>
        <v>43582</v>
      </c>
      <c r="B16" s="15">
        <v>2595870.85</v>
      </c>
      <c r="C16" s="15">
        <v>0</v>
      </c>
      <c r="D16" s="15">
        <f t="shared" si="0"/>
        <v>2398947.38</v>
      </c>
      <c r="E16" s="15">
        <v>196923.47</v>
      </c>
      <c r="F16" s="16">
        <f>3159/3</f>
        <v>1053</v>
      </c>
      <c r="G16" s="15">
        <f>IF(ISBLANK(B16),"",E16/F16/3)</f>
        <v>62.33728078505857</v>
      </c>
    </row>
    <row r="17" spans="1:7" ht="12">
      <c r="A17" s="22">
        <f t="shared" si="1"/>
        <v>43589</v>
      </c>
      <c r="D17" s="15">
        <f t="shared" si="0"/>
      </c>
      <c r="G17" s="15">
        <f t="shared" si="2"/>
      </c>
    </row>
    <row r="18" spans="1:7" ht="12">
      <c r="A18" s="22">
        <f t="shared" si="1"/>
        <v>43596</v>
      </c>
      <c r="D18" s="15">
        <f t="shared" si="0"/>
      </c>
      <c r="G18" s="15">
        <f t="shared" si="2"/>
      </c>
    </row>
    <row r="19" spans="1:7" ht="12">
      <c r="A19" s="22">
        <f t="shared" si="1"/>
        <v>43603</v>
      </c>
      <c r="D19" s="15">
        <f t="shared" si="0"/>
      </c>
      <c r="G19" s="15">
        <f t="shared" si="2"/>
      </c>
    </row>
    <row r="20" spans="1:7" ht="12">
      <c r="A20" s="22">
        <f t="shared" si="1"/>
        <v>43610</v>
      </c>
      <c r="D20" s="15">
        <f t="shared" si="0"/>
      </c>
      <c r="G20" s="15">
        <f t="shared" si="2"/>
      </c>
    </row>
    <row r="21" spans="1:7" ht="12">
      <c r="A21" s="22">
        <f t="shared" si="1"/>
        <v>43617</v>
      </c>
      <c r="D21" s="15">
        <f t="shared" si="0"/>
      </c>
      <c r="G21" s="15">
        <f t="shared" si="2"/>
      </c>
    </row>
    <row r="22" spans="1:7" ht="12">
      <c r="A22" s="22">
        <f t="shared" si="1"/>
        <v>43624</v>
      </c>
      <c r="D22" s="15">
        <f t="shared" si="0"/>
      </c>
      <c r="G22" s="15">
        <f t="shared" si="2"/>
      </c>
    </row>
    <row r="23" spans="1:7" ht="12">
      <c r="A23" s="22">
        <f t="shared" si="1"/>
        <v>43631</v>
      </c>
      <c r="D23" s="15">
        <f t="shared" si="0"/>
      </c>
      <c r="G23" s="15">
        <f t="shared" si="2"/>
      </c>
    </row>
    <row r="24" spans="1:7" ht="12">
      <c r="A24" s="22">
        <f t="shared" si="1"/>
        <v>43638</v>
      </c>
      <c r="D24" s="15">
        <f t="shared" si="0"/>
      </c>
      <c r="G24" s="15">
        <f t="shared" si="2"/>
      </c>
    </row>
    <row r="25" spans="1:7" ht="12">
      <c r="A25" s="22">
        <f t="shared" si="1"/>
        <v>43645</v>
      </c>
      <c r="D25" s="15">
        <f t="shared" si="0"/>
      </c>
      <c r="G25" s="15">
        <f t="shared" si="2"/>
      </c>
    </row>
    <row r="26" spans="1:7" ht="12">
      <c r="A26" s="22">
        <f t="shared" si="1"/>
        <v>43652</v>
      </c>
      <c r="D26" s="15">
        <f t="shared" si="0"/>
      </c>
      <c r="G26" s="15">
        <f t="shared" si="2"/>
      </c>
    </row>
    <row r="27" spans="1:7" ht="12">
      <c r="A27" s="22">
        <f t="shared" si="1"/>
        <v>43659</v>
      </c>
      <c r="D27" s="15">
        <f t="shared" si="0"/>
      </c>
      <c r="G27" s="15">
        <f t="shared" si="2"/>
      </c>
    </row>
    <row r="28" spans="1:7" ht="12">
      <c r="A28" s="22">
        <f t="shared" si="1"/>
        <v>43666</v>
      </c>
      <c r="D28" s="15">
        <f t="shared" si="0"/>
      </c>
      <c r="G28" s="15">
        <f t="shared" si="2"/>
      </c>
    </row>
    <row r="29" spans="1:7" ht="12">
      <c r="A29" s="22">
        <f t="shared" si="1"/>
        <v>43673</v>
      </c>
      <c r="D29" s="15">
        <f t="shared" si="0"/>
      </c>
      <c r="G29" s="15">
        <f t="shared" si="2"/>
      </c>
    </row>
    <row r="30" spans="1:7" ht="12">
      <c r="A30" s="22">
        <f t="shared" si="1"/>
        <v>43680</v>
      </c>
      <c r="D30" s="15">
        <f t="shared" si="0"/>
      </c>
      <c r="G30" s="15">
        <f t="shared" si="2"/>
      </c>
    </row>
    <row r="31" spans="1:7" ht="12">
      <c r="A31" s="22">
        <f t="shared" si="1"/>
        <v>43687</v>
      </c>
      <c r="D31" s="15">
        <f t="shared" si="0"/>
      </c>
      <c r="G31" s="15">
        <f t="shared" si="2"/>
      </c>
    </row>
    <row r="32" spans="1:7" ht="12">
      <c r="A32" s="22">
        <f t="shared" si="1"/>
        <v>43694</v>
      </c>
      <c r="D32" s="15">
        <f t="shared" si="0"/>
      </c>
      <c r="G32" s="15">
        <f t="shared" si="2"/>
      </c>
    </row>
    <row r="33" spans="1:7" ht="12">
      <c r="A33" s="22">
        <f t="shared" si="1"/>
        <v>43701</v>
      </c>
      <c r="D33" s="15">
        <f t="shared" si="0"/>
      </c>
      <c r="G33" s="15">
        <f t="shared" si="2"/>
      </c>
    </row>
    <row r="34" spans="1:7" ht="12">
      <c r="A34" s="22">
        <f t="shared" si="1"/>
        <v>43708</v>
      </c>
      <c r="D34" s="15">
        <f t="shared" si="0"/>
      </c>
      <c r="G34" s="15">
        <f t="shared" si="2"/>
      </c>
    </row>
    <row r="35" spans="1:7" ht="12">
      <c r="A35" s="22">
        <f t="shared" si="1"/>
        <v>43715</v>
      </c>
      <c r="D35" s="15">
        <f t="shared" si="0"/>
      </c>
      <c r="G35" s="15">
        <f t="shared" si="2"/>
      </c>
    </row>
    <row r="36" spans="1:7" ht="12">
      <c r="A36" s="22">
        <f t="shared" si="1"/>
        <v>43722</v>
      </c>
      <c r="D36" s="15">
        <f t="shared" si="0"/>
      </c>
      <c r="G36" s="15">
        <f t="shared" si="2"/>
      </c>
    </row>
    <row r="37" spans="1:7" ht="12">
      <c r="A37" s="22">
        <f t="shared" si="1"/>
        <v>43729</v>
      </c>
      <c r="D37" s="15">
        <f t="shared" si="0"/>
      </c>
      <c r="G37" s="15">
        <f t="shared" si="2"/>
      </c>
    </row>
    <row r="38" spans="1:7" ht="12">
      <c r="A38" s="22">
        <f t="shared" si="1"/>
        <v>43736</v>
      </c>
      <c r="D38" s="15">
        <f t="shared" si="0"/>
      </c>
      <c r="G38" s="15">
        <f t="shared" si="2"/>
      </c>
    </row>
    <row r="39" spans="1:7" ht="12">
      <c r="A39" s="22">
        <f t="shared" si="1"/>
        <v>43743</v>
      </c>
      <c r="D39" s="15">
        <f t="shared" si="0"/>
      </c>
      <c r="G39" s="15">
        <f t="shared" si="2"/>
      </c>
    </row>
    <row r="40" spans="1:7" ht="12">
      <c r="A40" s="22">
        <f t="shared" si="1"/>
        <v>43750</v>
      </c>
      <c r="D40" s="15">
        <f t="shared" si="0"/>
      </c>
      <c r="G40" s="15">
        <f t="shared" si="2"/>
      </c>
    </row>
    <row r="41" spans="1:7" ht="12">
      <c r="A41" s="22">
        <f t="shared" si="1"/>
        <v>43757</v>
      </c>
      <c r="D41" s="15">
        <f t="shared" si="0"/>
      </c>
      <c r="G41" s="15">
        <f t="shared" si="2"/>
      </c>
    </row>
    <row r="42" spans="1:7" ht="12">
      <c r="A42" s="22">
        <f t="shared" si="1"/>
        <v>43764</v>
      </c>
      <c r="D42" s="15">
        <f t="shared" si="0"/>
      </c>
      <c r="G42" s="15">
        <f t="shared" si="2"/>
      </c>
    </row>
    <row r="43" spans="1:7" ht="12">
      <c r="A43" s="22">
        <f t="shared" si="1"/>
        <v>43771</v>
      </c>
      <c r="D43" s="15">
        <f t="shared" si="0"/>
      </c>
      <c r="G43" s="15">
        <f t="shared" si="2"/>
      </c>
    </row>
    <row r="44" spans="1:7" ht="12">
      <c r="A44" s="22">
        <f t="shared" si="1"/>
        <v>43778</v>
      </c>
      <c r="D44" s="15">
        <f t="shared" si="0"/>
      </c>
      <c r="G44" s="15">
        <f t="shared" si="2"/>
      </c>
    </row>
    <row r="45" spans="1:7" ht="12">
      <c r="A45" s="22">
        <f t="shared" si="1"/>
        <v>43785</v>
      </c>
      <c r="D45" s="15">
        <f t="shared" si="0"/>
      </c>
      <c r="G45" s="15">
        <f t="shared" si="2"/>
      </c>
    </row>
    <row r="46" spans="1:7" ht="12">
      <c r="A46" s="22">
        <f t="shared" si="1"/>
        <v>43792</v>
      </c>
      <c r="D46" s="15">
        <f t="shared" si="0"/>
      </c>
      <c r="G46" s="15">
        <f t="shared" si="2"/>
      </c>
    </row>
    <row r="47" spans="1:7" ht="12">
      <c r="A47" s="22">
        <f t="shared" si="1"/>
        <v>43799</v>
      </c>
      <c r="D47" s="15">
        <f t="shared" si="0"/>
      </c>
      <c r="G47" s="15">
        <f t="shared" si="2"/>
      </c>
    </row>
    <row r="48" spans="1:7" ht="12">
      <c r="A48" s="22">
        <f t="shared" si="1"/>
        <v>43806</v>
      </c>
      <c r="D48" s="15">
        <f t="shared" si="0"/>
      </c>
      <c r="G48" s="15">
        <f t="shared" si="2"/>
      </c>
    </row>
    <row r="49" spans="1:7" ht="12">
      <c r="A49" s="22">
        <f t="shared" si="1"/>
        <v>43813</v>
      </c>
      <c r="D49" s="15">
        <f t="shared" si="0"/>
      </c>
      <c r="G49" s="15">
        <f t="shared" si="2"/>
      </c>
    </row>
    <row r="50" spans="1:7" ht="12">
      <c r="A50" s="22">
        <f t="shared" si="1"/>
        <v>43820</v>
      </c>
      <c r="D50" s="15">
        <f t="shared" si="0"/>
      </c>
      <c r="G50" s="15">
        <f t="shared" si="2"/>
      </c>
    </row>
    <row r="51" spans="1:7" ht="12">
      <c r="A51" s="22">
        <f t="shared" si="1"/>
        <v>43827</v>
      </c>
      <c r="D51" s="15">
        <f t="shared" si="0"/>
      </c>
      <c r="G51" s="15">
        <f t="shared" si="2"/>
      </c>
    </row>
    <row r="52" spans="1:7" ht="12">
      <c r="A52" s="22">
        <f t="shared" si="1"/>
        <v>43834</v>
      </c>
      <c r="D52" s="15">
        <f t="shared" si="0"/>
      </c>
      <c r="G52" s="15">
        <f t="shared" si="2"/>
      </c>
    </row>
    <row r="53" spans="1:7" ht="12">
      <c r="A53" s="22">
        <f t="shared" si="1"/>
        <v>43841</v>
      </c>
      <c r="D53" s="15">
        <f t="shared" si="0"/>
      </c>
      <c r="G53" s="15">
        <f t="shared" si="2"/>
      </c>
    </row>
    <row r="54" spans="1:7" ht="12">
      <c r="A54" s="22">
        <f t="shared" si="1"/>
        <v>43848</v>
      </c>
      <c r="D54" s="15">
        <f t="shared" si="0"/>
      </c>
      <c r="G54" s="15">
        <f t="shared" si="2"/>
      </c>
    </row>
    <row r="55" spans="1:7" ht="12">
      <c r="A55" s="22">
        <f t="shared" si="1"/>
        <v>43855</v>
      </c>
      <c r="D55" s="15">
        <f t="shared" si="0"/>
      </c>
      <c r="G55" s="15">
        <f t="shared" si="2"/>
      </c>
    </row>
    <row r="56" spans="1:7" ht="12">
      <c r="A56" s="22">
        <f t="shared" si="1"/>
        <v>43862</v>
      </c>
      <c r="D56" s="15">
        <f t="shared" si="0"/>
      </c>
      <c r="G56" s="15">
        <f t="shared" si="2"/>
      </c>
    </row>
    <row r="57" spans="1:7" ht="12">
      <c r="A57" s="22">
        <f t="shared" si="1"/>
        <v>43869</v>
      </c>
      <c r="D57" s="15">
        <f t="shared" si="0"/>
      </c>
      <c r="G57" s="15">
        <f t="shared" si="2"/>
      </c>
    </row>
    <row r="58" spans="1:7" ht="12">
      <c r="A58" s="22">
        <f t="shared" si="1"/>
        <v>43876</v>
      </c>
      <c r="D58" s="15">
        <f t="shared" si="0"/>
      </c>
      <c r="G58" s="15">
        <f t="shared" si="2"/>
      </c>
    </row>
    <row r="59" spans="1:7" ht="12">
      <c r="A59" s="22">
        <f t="shared" si="1"/>
        <v>43883</v>
      </c>
      <c r="D59" s="15">
        <f t="shared" si="0"/>
      </c>
      <c r="G59" s="15">
        <f t="shared" si="2"/>
      </c>
    </row>
    <row r="60" spans="1:7" ht="12">
      <c r="A60" s="22">
        <f t="shared" si="1"/>
        <v>43890</v>
      </c>
      <c r="D60" s="15">
        <f t="shared" si="0"/>
      </c>
      <c r="G60" s="15">
        <f t="shared" si="2"/>
      </c>
    </row>
    <row r="61" spans="1:7" ht="12">
      <c r="A61" s="22">
        <f t="shared" si="1"/>
        <v>43897</v>
      </c>
      <c r="D61" s="15">
        <f t="shared" si="0"/>
      </c>
      <c r="G61" s="15">
        <f t="shared" si="2"/>
      </c>
    </row>
    <row r="62" spans="1:7" ht="12">
      <c r="A62" s="22">
        <f t="shared" si="1"/>
        <v>43904</v>
      </c>
      <c r="D62" s="15">
        <f t="shared" si="0"/>
      </c>
      <c r="G62" s="15">
        <f t="shared" si="2"/>
      </c>
    </row>
    <row r="63" spans="1:7" ht="12">
      <c r="A63" s="22">
        <f t="shared" si="1"/>
        <v>43911</v>
      </c>
      <c r="D63" s="15">
        <f t="shared" si="0"/>
      </c>
      <c r="G63" s="15">
        <f t="shared" si="2"/>
      </c>
    </row>
    <row r="64" ht="12">
      <c r="A64" s="22"/>
    </row>
    <row r="65" spans="1:7" ht="12.75" thickBot="1">
      <c r="A65" s="3" t="s">
        <v>8</v>
      </c>
      <c r="B65" s="17">
        <f>SUM(B12:B64)</f>
        <v>20165959.200000003</v>
      </c>
      <c r="C65" s="17">
        <f>SUM(C12:C64)</f>
        <v>-1630</v>
      </c>
      <c r="D65" s="17">
        <f>SUM(D12:D64)</f>
        <v>18682400.38</v>
      </c>
      <c r="E65" s="17">
        <f>SUM(E12:E64)</f>
        <v>1485188.8199999998</v>
      </c>
      <c r="F65" s="24">
        <f>_xlfn.IFERROR(SUM(F12:F64)/COUNT(F12:F64)," ")</f>
        <v>1063.1714285714286</v>
      </c>
      <c r="G65" s="17">
        <v>45</v>
      </c>
    </row>
    <row r="66" spans="1:5" s="21" customFormat="1" ht="12.75" thickTop="1">
      <c r="A66" s="19"/>
      <c r="B66" s="20"/>
      <c r="C66" s="20"/>
      <c r="D66" s="20"/>
      <c r="E66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monticellocasinoandraceway.com"/>
  </hyperlinks>
  <printOptions horizontalCentered="1"/>
  <pageMargins left="0" right="0" top="0.5" bottom="0.5" header="0.5" footer="0.5"/>
  <pageSetup fitToHeight="1" fitToWidth="1" horizontalDpi="600" verticalDpi="600" orientation="portrait" scale="8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pane ySplit="10" topLeftCell="A50" activePane="bottomLeft" state="frozen"/>
      <selection pane="topLeft" activeCell="A1" sqref="A1"/>
      <selection pane="bottomLeft" activeCell="B63" sqref="B63"/>
    </sheetView>
  </sheetViews>
  <sheetFormatPr defaultColWidth="9.140625" defaultRowHeight="12.75"/>
  <cols>
    <col min="1" max="1" width="15.140625" style="3" customWidth="1"/>
    <col min="2" max="5" width="15.140625" style="15" customWidth="1"/>
    <col min="6" max="6" width="15.140625" style="16" customWidth="1"/>
    <col min="7" max="7" width="15.140625" style="15" customWidth="1"/>
  </cols>
  <sheetData>
    <row r="1" spans="1:11" ht="18">
      <c r="A1" s="35" t="s">
        <v>16</v>
      </c>
      <c r="B1" s="35"/>
      <c r="C1" s="35"/>
      <c r="D1" s="35"/>
      <c r="E1" s="35"/>
      <c r="F1" s="35"/>
      <c r="G1" s="35"/>
      <c r="H1" s="26"/>
      <c r="I1" s="26"/>
      <c r="J1" s="26"/>
      <c r="K1" s="26"/>
    </row>
    <row r="2" spans="1:11" ht="15">
      <c r="A2" s="36" t="s">
        <v>17</v>
      </c>
      <c r="B2" s="36"/>
      <c r="C2" s="36"/>
      <c r="D2" s="36"/>
      <c r="E2" s="36"/>
      <c r="F2" s="36"/>
      <c r="G2" s="36"/>
      <c r="H2" s="27"/>
      <c r="I2" s="27"/>
      <c r="J2" s="27"/>
      <c r="K2" s="27"/>
    </row>
    <row r="3" spans="1:11" s="1" customFormat="1" ht="15">
      <c r="A3" s="36" t="s">
        <v>18</v>
      </c>
      <c r="B3" s="36"/>
      <c r="C3" s="36"/>
      <c r="D3" s="36"/>
      <c r="E3" s="36"/>
      <c r="F3" s="36"/>
      <c r="G3" s="36"/>
      <c r="H3" s="27"/>
      <c r="I3" s="27"/>
      <c r="J3" s="27"/>
      <c r="K3" s="27"/>
    </row>
    <row r="4" spans="1:11" s="1" customFormat="1" ht="15">
      <c r="A4" s="37" t="s">
        <v>27</v>
      </c>
      <c r="B4" s="37"/>
      <c r="C4" s="37"/>
      <c r="D4" s="37"/>
      <c r="E4" s="37"/>
      <c r="F4" s="37"/>
      <c r="G4" s="37"/>
      <c r="H4" s="28"/>
      <c r="I4" s="28"/>
      <c r="J4" s="28"/>
      <c r="K4" s="28"/>
    </row>
    <row r="5" spans="1:11" s="1" customFormat="1" ht="13.5">
      <c r="A5" s="38" t="s">
        <v>20</v>
      </c>
      <c r="B5" s="38"/>
      <c r="C5" s="38"/>
      <c r="D5" s="38"/>
      <c r="E5" s="38"/>
      <c r="F5" s="38"/>
      <c r="G5" s="38"/>
      <c r="H5" s="29"/>
      <c r="I5" s="29"/>
      <c r="J5" s="29"/>
      <c r="K5" s="29"/>
    </row>
    <row r="6" spans="1:11" s="1" customFormat="1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7" customFormat="1" ht="14.25" customHeight="1">
      <c r="A7" s="39" t="s">
        <v>33</v>
      </c>
      <c r="B7" s="40"/>
      <c r="C7" s="40"/>
      <c r="D7" s="40"/>
      <c r="E7" s="40"/>
      <c r="F7" s="40"/>
      <c r="G7" s="41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1.25">
      <c r="A9" s="9"/>
      <c r="B9" s="10" t="s">
        <v>0</v>
      </c>
      <c r="C9" s="10" t="s">
        <v>21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1.25">
      <c r="A10" s="13" t="s">
        <v>11</v>
      </c>
      <c r="B10" s="8" t="s">
        <v>3</v>
      </c>
      <c r="C10" s="8" t="s">
        <v>26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">
      <c r="A12" s="22">
        <v>43190</v>
      </c>
      <c r="B12" s="15">
        <v>9610655</v>
      </c>
      <c r="C12" s="15">
        <v>69984</v>
      </c>
      <c r="D12" s="15">
        <f aca="true" t="shared" si="0" ref="D12:D44">IF(ISBLANK(B12),"",B12-C12-E12)</f>
        <v>8854944</v>
      </c>
      <c r="E12" s="15">
        <v>685727</v>
      </c>
      <c r="F12" s="16">
        <v>1110</v>
      </c>
      <c r="G12" s="15">
        <v>88</v>
      </c>
    </row>
    <row r="13" spans="1:7" ht="12">
      <c r="A13" s="22">
        <f aca="true" t="shared" si="1" ref="A13:A44">+A12+7</f>
        <v>43197</v>
      </c>
      <c r="B13" s="15">
        <v>9209934</v>
      </c>
      <c r="C13" s="15">
        <v>82768</v>
      </c>
      <c r="D13" s="15">
        <f t="shared" si="0"/>
        <v>8475841</v>
      </c>
      <c r="E13" s="15">
        <v>651325</v>
      </c>
      <c r="F13" s="16">
        <f aca="true" t="shared" si="2" ref="F13:F18">7770/7</f>
        <v>1110</v>
      </c>
      <c r="G13" s="15">
        <v>84</v>
      </c>
    </row>
    <row r="14" spans="1:7" ht="12">
      <c r="A14" s="22">
        <f t="shared" si="1"/>
        <v>43204</v>
      </c>
      <c r="B14" s="15">
        <v>8986256</v>
      </c>
      <c r="C14" s="15">
        <v>76748</v>
      </c>
      <c r="D14" s="15">
        <f t="shared" si="0"/>
        <v>8312209</v>
      </c>
      <c r="E14" s="15">
        <v>597299</v>
      </c>
      <c r="F14" s="16">
        <f t="shared" si="2"/>
        <v>1110</v>
      </c>
      <c r="G14" s="15">
        <v>77</v>
      </c>
    </row>
    <row r="15" spans="1:7" ht="12">
      <c r="A15" s="22">
        <f t="shared" si="1"/>
        <v>43211</v>
      </c>
      <c r="B15" s="15">
        <v>8702737</v>
      </c>
      <c r="C15" s="15">
        <v>68807</v>
      </c>
      <c r="D15" s="15">
        <f t="shared" si="0"/>
        <v>7975706</v>
      </c>
      <c r="E15" s="15">
        <v>658224</v>
      </c>
      <c r="F15" s="16">
        <f t="shared" si="2"/>
        <v>1110</v>
      </c>
      <c r="G15" s="15">
        <v>85</v>
      </c>
    </row>
    <row r="16" spans="1:7" ht="12">
      <c r="A16" s="22">
        <f t="shared" si="1"/>
        <v>43218</v>
      </c>
      <c r="B16" s="15">
        <v>10319061</v>
      </c>
      <c r="C16" s="15">
        <v>94913</v>
      </c>
      <c r="D16" s="15">
        <f t="shared" si="0"/>
        <v>9537209</v>
      </c>
      <c r="E16" s="15">
        <v>686939</v>
      </c>
      <c r="F16" s="16">
        <f t="shared" si="2"/>
        <v>1110</v>
      </c>
      <c r="G16" s="15">
        <v>88</v>
      </c>
    </row>
    <row r="17" spans="1:7" ht="12">
      <c r="A17" s="22">
        <f t="shared" si="1"/>
        <v>43225</v>
      </c>
      <c r="B17" s="15">
        <v>9223652</v>
      </c>
      <c r="C17" s="15">
        <f>84581-672648</f>
        <v>-588067</v>
      </c>
      <c r="D17" s="15">
        <f t="shared" si="0"/>
        <v>8439869</v>
      </c>
      <c r="E17" s="15">
        <v>1371850</v>
      </c>
      <c r="F17" s="16">
        <f t="shared" si="2"/>
        <v>1110</v>
      </c>
      <c r="G17" s="15">
        <v>177</v>
      </c>
    </row>
    <row r="18" spans="1:7" ht="12">
      <c r="A18" s="22">
        <f t="shared" si="1"/>
        <v>43232</v>
      </c>
      <c r="B18" s="15">
        <v>9617220</v>
      </c>
      <c r="C18" s="15">
        <f>77765-646393</f>
        <v>-568628</v>
      </c>
      <c r="D18" s="15">
        <f t="shared" si="0"/>
        <v>8934391</v>
      </c>
      <c r="E18" s="15">
        <v>1251457</v>
      </c>
      <c r="F18" s="16">
        <f t="shared" si="2"/>
        <v>1110</v>
      </c>
      <c r="G18" s="15">
        <v>161</v>
      </c>
    </row>
    <row r="19" spans="1:7" ht="12">
      <c r="A19" s="22">
        <f t="shared" si="1"/>
        <v>43239</v>
      </c>
      <c r="B19" s="15">
        <v>9822321</v>
      </c>
      <c r="C19" s="15">
        <v>76008</v>
      </c>
      <c r="D19" s="15">
        <f t="shared" si="0"/>
        <v>9097836</v>
      </c>
      <c r="E19" s="15">
        <v>648477</v>
      </c>
      <c r="F19" s="16">
        <f aca="true" t="shared" si="3" ref="F19:F24">7770/7</f>
        <v>1110</v>
      </c>
      <c r="G19" s="15">
        <v>83</v>
      </c>
    </row>
    <row r="20" spans="1:7" ht="12">
      <c r="A20" s="22">
        <f t="shared" si="1"/>
        <v>43246</v>
      </c>
      <c r="B20" s="15">
        <v>9861773</v>
      </c>
      <c r="C20" s="15">
        <f>76881-22810</f>
        <v>54071</v>
      </c>
      <c r="D20" s="15">
        <f t="shared" si="0"/>
        <v>9145898</v>
      </c>
      <c r="E20" s="15">
        <v>661804</v>
      </c>
      <c r="F20" s="16">
        <f t="shared" si="3"/>
        <v>1110</v>
      </c>
      <c r="G20" s="15">
        <v>85</v>
      </c>
    </row>
    <row r="21" spans="1:7" ht="12">
      <c r="A21" s="22">
        <f t="shared" si="1"/>
        <v>43253</v>
      </c>
      <c r="B21" s="15">
        <v>11193419</v>
      </c>
      <c r="C21" s="15">
        <v>82669</v>
      </c>
      <c r="D21" s="15">
        <f t="shared" si="0"/>
        <v>10361916</v>
      </c>
      <c r="E21" s="15">
        <v>748834</v>
      </c>
      <c r="F21" s="16">
        <f t="shared" si="3"/>
        <v>1110</v>
      </c>
      <c r="G21" s="15">
        <v>96</v>
      </c>
    </row>
    <row r="22" spans="1:7" ht="12">
      <c r="A22" s="22">
        <f t="shared" si="1"/>
        <v>43260</v>
      </c>
      <c r="B22" s="15">
        <v>9989524</v>
      </c>
      <c r="C22" s="15">
        <v>76435</v>
      </c>
      <c r="D22" s="15">
        <f t="shared" si="0"/>
        <v>9179387</v>
      </c>
      <c r="E22" s="15">
        <v>733702</v>
      </c>
      <c r="F22" s="16">
        <f t="shared" si="3"/>
        <v>1110</v>
      </c>
      <c r="G22" s="15">
        <v>94</v>
      </c>
    </row>
    <row r="23" spans="1:7" ht="12">
      <c r="A23" s="22">
        <f t="shared" si="1"/>
        <v>43267</v>
      </c>
      <c r="B23" s="15">
        <v>9276300</v>
      </c>
      <c r="C23" s="15">
        <v>62164</v>
      </c>
      <c r="D23" s="15">
        <f t="shared" si="0"/>
        <v>8563757</v>
      </c>
      <c r="E23" s="15">
        <v>650379</v>
      </c>
      <c r="F23" s="16">
        <f t="shared" si="3"/>
        <v>1110</v>
      </c>
      <c r="G23" s="15">
        <f>_xlfn.IFERROR((E23/F23/7)," ")</f>
        <v>83.70386100386101</v>
      </c>
    </row>
    <row r="24" spans="1:7" ht="12">
      <c r="A24" s="22">
        <f t="shared" si="1"/>
        <v>43274</v>
      </c>
      <c r="B24" s="15">
        <v>8904219</v>
      </c>
      <c r="C24" s="15">
        <v>58457</v>
      </c>
      <c r="D24" s="15">
        <f t="shared" si="0"/>
        <v>8227273</v>
      </c>
      <c r="E24" s="15">
        <v>618489</v>
      </c>
      <c r="F24" s="16">
        <f t="shared" si="3"/>
        <v>1110</v>
      </c>
      <c r="G24" s="15">
        <f aca="true" t="shared" si="4" ref="G24:G63">_xlfn.IFERROR((E24/F24/7)," ")</f>
        <v>79.5996138996139</v>
      </c>
    </row>
    <row r="25" spans="1:7" ht="12">
      <c r="A25" s="22">
        <f t="shared" si="1"/>
        <v>43281</v>
      </c>
      <c r="B25" s="15">
        <v>9381688</v>
      </c>
      <c r="C25" s="15">
        <v>61783</v>
      </c>
      <c r="D25" s="15">
        <f t="shared" si="0"/>
        <v>8685955</v>
      </c>
      <c r="E25" s="15">
        <v>633950</v>
      </c>
      <c r="F25" s="16">
        <f aca="true" t="shared" si="5" ref="F25:F30">7770/7</f>
        <v>1110</v>
      </c>
      <c r="G25" s="15">
        <f t="shared" si="4"/>
        <v>81.58944658944658</v>
      </c>
    </row>
    <row r="26" spans="1:7" ht="12">
      <c r="A26" s="22">
        <f t="shared" si="1"/>
        <v>43288</v>
      </c>
      <c r="B26" s="15">
        <v>11743442</v>
      </c>
      <c r="C26" s="15">
        <v>99260</v>
      </c>
      <c r="D26" s="15">
        <f t="shared" si="0"/>
        <v>10839148</v>
      </c>
      <c r="E26" s="15">
        <v>805034</v>
      </c>
      <c r="F26" s="16">
        <f t="shared" si="5"/>
        <v>1110</v>
      </c>
      <c r="G26" s="15">
        <f t="shared" si="4"/>
        <v>103.60797940797941</v>
      </c>
    </row>
    <row r="27" spans="1:7" ht="12">
      <c r="A27" s="22">
        <f t="shared" si="1"/>
        <v>43295</v>
      </c>
      <c r="B27" s="15">
        <v>10133671</v>
      </c>
      <c r="C27" s="15">
        <f>83946-21930</f>
        <v>62016</v>
      </c>
      <c r="D27" s="15">
        <f t="shared" si="0"/>
        <v>9429717</v>
      </c>
      <c r="E27" s="15">
        <v>641938</v>
      </c>
      <c r="F27" s="16">
        <f t="shared" si="5"/>
        <v>1110</v>
      </c>
      <c r="G27" s="15">
        <f t="shared" si="4"/>
        <v>82.61750321750321</v>
      </c>
    </row>
    <row r="28" spans="1:7" ht="12">
      <c r="A28" s="22">
        <f t="shared" si="1"/>
        <v>43302</v>
      </c>
      <c r="B28" s="15">
        <v>10526811</v>
      </c>
      <c r="C28" s="15">
        <v>85736</v>
      </c>
      <c r="D28" s="15">
        <f t="shared" si="0"/>
        <v>9801556</v>
      </c>
      <c r="E28" s="15">
        <v>639519</v>
      </c>
      <c r="F28" s="16">
        <f t="shared" si="5"/>
        <v>1110</v>
      </c>
      <c r="G28" s="15">
        <f t="shared" si="4"/>
        <v>82.3061776061776</v>
      </c>
    </row>
    <row r="29" spans="1:7" ht="12">
      <c r="A29" s="22">
        <f t="shared" si="1"/>
        <v>43309</v>
      </c>
      <c r="B29" s="15">
        <v>10526541</v>
      </c>
      <c r="C29" s="15">
        <f>82566-23755</f>
        <v>58811</v>
      </c>
      <c r="D29" s="15">
        <f t="shared" si="0"/>
        <v>9712793</v>
      </c>
      <c r="E29" s="15">
        <v>754937</v>
      </c>
      <c r="F29" s="16">
        <f t="shared" si="5"/>
        <v>1110</v>
      </c>
      <c r="G29" s="15">
        <f t="shared" si="4"/>
        <v>97.16048906048907</v>
      </c>
    </row>
    <row r="30" spans="1:7" ht="12">
      <c r="A30" s="22">
        <f t="shared" si="1"/>
        <v>43316</v>
      </c>
      <c r="B30" s="15">
        <v>10282183</v>
      </c>
      <c r="C30" s="15">
        <v>75167</v>
      </c>
      <c r="D30" s="15">
        <f t="shared" si="0"/>
        <v>9545784</v>
      </c>
      <c r="E30" s="15">
        <v>661232</v>
      </c>
      <c r="F30" s="16">
        <f t="shared" si="5"/>
        <v>1110</v>
      </c>
      <c r="G30" s="15">
        <f t="shared" si="4"/>
        <v>85.1006435006435</v>
      </c>
    </row>
    <row r="31" spans="1:7" ht="12">
      <c r="A31" s="22">
        <f t="shared" si="1"/>
        <v>43323</v>
      </c>
      <c r="B31" s="15">
        <v>9360931</v>
      </c>
      <c r="C31" s="15">
        <v>60650</v>
      </c>
      <c r="D31" s="15">
        <f t="shared" si="0"/>
        <v>8665238</v>
      </c>
      <c r="E31" s="15">
        <v>635043</v>
      </c>
      <c r="F31" s="16">
        <f aca="true" t="shared" si="6" ref="F31:F36">7770/7</f>
        <v>1110</v>
      </c>
      <c r="G31" s="15">
        <f t="shared" si="4"/>
        <v>81.73011583011582</v>
      </c>
    </row>
    <row r="32" spans="1:7" ht="12">
      <c r="A32" s="22">
        <f t="shared" si="1"/>
        <v>43330</v>
      </c>
      <c r="B32" s="15">
        <v>9841645</v>
      </c>
      <c r="C32" s="15">
        <v>63355</v>
      </c>
      <c r="D32" s="15">
        <f t="shared" si="0"/>
        <v>9083022</v>
      </c>
      <c r="E32" s="15">
        <v>695268</v>
      </c>
      <c r="F32" s="16">
        <f t="shared" si="6"/>
        <v>1110</v>
      </c>
      <c r="G32" s="15">
        <f t="shared" si="4"/>
        <v>89.48108108108109</v>
      </c>
    </row>
    <row r="33" spans="1:7" ht="12">
      <c r="A33" s="22">
        <f t="shared" si="1"/>
        <v>43337</v>
      </c>
      <c r="B33" s="15">
        <v>9941810</v>
      </c>
      <c r="C33" s="15">
        <f>64727-25785</f>
        <v>38942</v>
      </c>
      <c r="D33" s="15">
        <f t="shared" si="0"/>
        <v>9240293</v>
      </c>
      <c r="E33" s="15">
        <v>662575</v>
      </c>
      <c r="F33" s="16">
        <f t="shared" si="6"/>
        <v>1110</v>
      </c>
      <c r="G33" s="15">
        <f t="shared" si="4"/>
        <v>85.27348777348777</v>
      </c>
    </row>
    <row r="34" spans="1:7" ht="12">
      <c r="A34" s="22">
        <f t="shared" si="1"/>
        <v>43344</v>
      </c>
      <c r="B34" s="15">
        <v>9425033</v>
      </c>
      <c r="C34" s="15">
        <v>73075</v>
      </c>
      <c r="D34" s="15">
        <f t="shared" si="0"/>
        <v>8714706</v>
      </c>
      <c r="E34" s="15">
        <v>637252</v>
      </c>
      <c r="F34" s="16">
        <f t="shared" si="6"/>
        <v>1110</v>
      </c>
      <c r="G34" s="15">
        <f t="shared" si="4"/>
        <v>82.01441441441442</v>
      </c>
    </row>
    <row r="35" spans="1:7" ht="12">
      <c r="A35" s="22">
        <f t="shared" si="1"/>
        <v>43351</v>
      </c>
      <c r="B35" s="15">
        <v>10227867</v>
      </c>
      <c r="C35" s="15">
        <v>68847</v>
      </c>
      <c r="D35" s="15">
        <f t="shared" si="0"/>
        <v>9449658</v>
      </c>
      <c r="E35" s="15">
        <v>709362</v>
      </c>
      <c r="F35" s="16">
        <f t="shared" si="6"/>
        <v>1110</v>
      </c>
      <c r="G35" s="15">
        <f t="shared" si="4"/>
        <v>91.2949806949807</v>
      </c>
    </row>
    <row r="36" spans="1:7" ht="12">
      <c r="A36" s="22">
        <f t="shared" si="1"/>
        <v>43358</v>
      </c>
      <c r="B36" s="15">
        <v>8439660</v>
      </c>
      <c r="C36" s="15">
        <v>59712</v>
      </c>
      <c r="D36" s="15">
        <f t="shared" si="0"/>
        <v>7786609</v>
      </c>
      <c r="E36" s="15">
        <v>593339</v>
      </c>
      <c r="F36" s="16">
        <f t="shared" si="6"/>
        <v>1110</v>
      </c>
      <c r="G36" s="15">
        <f t="shared" si="4"/>
        <v>76.36280566280566</v>
      </c>
    </row>
    <row r="37" spans="1:7" ht="12">
      <c r="A37" s="22">
        <f t="shared" si="1"/>
        <v>43365</v>
      </c>
      <c r="B37" s="15">
        <v>8938330</v>
      </c>
      <c r="C37" s="15">
        <f>63972-21460</f>
        <v>42512</v>
      </c>
      <c r="D37" s="15">
        <f t="shared" si="0"/>
        <v>8287859</v>
      </c>
      <c r="E37" s="15">
        <v>607959</v>
      </c>
      <c r="F37" s="16">
        <f aca="true" t="shared" si="7" ref="F37:F42">7770/7</f>
        <v>1110</v>
      </c>
      <c r="G37" s="15">
        <f t="shared" si="4"/>
        <v>78.24440154440154</v>
      </c>
    </row>
    <row r="38" spans="1:7" ht="12">
      <c r="A38" s="22">
        <f t="shared" si="1"/>
        <v>43372</v>
      </c>
      <c r="B38" s="15">
        <v>8566904.91</v>
      </c>
      <c r="C38" s="15">
        <v>58144.600000000006</v>
      </c>
      <c r="D38" s="15">
        <f t="shared" si="0"/>
        <v>7929418.410000001</v>
      </c>
      <c r="E38" s="15">
        <v>579341.8999999998</v>
      </c>
      <c r="F38" s="16">
        <f t="shared" si="7"/>
        <v>1110</v>
      </c>
      <c r="G38" s="15">
        <f>_xlfn.IFERROR((E38/F38/7)," ")</f>
        <v>74.56137709137707</v>
      </c>
    </row>
    <row r="39" spans="1:7" ht="12">
      <c r="A39" s="22">
        <f t="shared" si="1"/>
        <v>43379</v>
      </c>
      <c r="B39" s="15">
        <v>8795457</v>
      </c>
      <c r="C39" s="15">
        <v>101399</v>
      </c>
      <c r="D39" s="15">
        <f t="shared" si="0"/>
        <v>8057675</v>
      </c>
      <c r="E39" s="15">
        <v>636383</v>
      </c>
      <c r="F39" s="16">
        <f t="shared" si="7"/>
        <v>1110</v>
      </c>
      <c r="G39" s="15">
        <f t="shared" si="4"/>
        <v>81.90257400257401</v>
      </c>
    </row>
    <row r="40" spans="1:7" ht="12">
      <c r="A40" s="22">
        <f t="shared" si="1"/>
        <v>43386</v>
      </c>
      <c r="B40" s="15">
        <v>8491762</v>
      </c>
      <c r="C40" s="15">
        <v>92372</v>
      </c>
      <c r="D40" s="15">
        <f t="shared" si="0"/>
        <v>7839572</v>
      </c>
      <c r="E40" s="15">
        <v>559818</v>
      </c>
      <c r="F40" s="16">
        <f t="shared" si="7"/>
        <v>1110</v>
      </c>
      <c r="G40" s="15">
        <f t="shared" si="4"/>
        <v>72.04864864864865</v>
      </c>
    </row>
    <row r="41" spans="1:7" ht="12">
      <c r="A41" s="22">
        <f t="shared" si="1"/>
        <v>43393</v>
      </c>
      <c r="B41" s="15">
        <v>7689604</v>
      </c>
      <c r="C41" s="15">
        <v>86775</v>
      </c>
      <c r="D41" s="15">
        <f t="shared" si="0"/>
        <v>7057949</v>
      </c>
      <c r="E41" s="15">
        <v>544880</v>
      </c>
      <c r="F41" s="16">
        <f t="shared" si="7"/>
        <v>1110</v>
      </c>
      <c r="G41" s="15">
        <f t="shared" si="4"/>
        <v>70.12612612612612</v>
      </c>
    </row>
    <row r="42" spans="1:7" ht="12">
      <c r="A42" s="22">
        <f t="shared" si="1"/>
        <v>43400</v>
      </c>
      <c r="B42" s="15">
        <v>7543295</v>
      </c>
      <c r="C42" s="15">
        <v>82588</v>
      </c>
      <c r="D42" s="15">
        <f t="shared" si="0"/>
        <v>7001349</v>
      </c>
      <c r="E42" s="15">
        <v>459358</v>
      </c>
      <c r="F42" s="16">
        <f t="shared" si="7"/>
        <v>1110</v>
      </c>
      <c r="G42" s="15">
        <f t="shared" si="4"/>
        <v>59.11943371943372</v>
      </c>
    </row>
    <row r="43" spans="1:7" ht="12">
      <c r="A43" s="22">
        <f t="shared" si="1"/>
        <v>43407</v>
      </c>
      <c r="B43" s="15">
        <v>8843290</v>
      </c>
      <c r="C43" s="15">
        <v>102227</v>
      </c>
      <c r="D43" s="15">
        <f t="shared" si="0"/>
        <v>8125233</v>
      </c>
      <c r="E43" s="15">
        <v>615830</v>
      </c>
      <c r="F43" s="16">
        <f>7770/7</f>
        <v>1110</v>
      </c>
      <c r="G43" s="15">
        <f t="shared" si="4"/>
        <v>79.25740025740026</v>
      </c>
    </row>
    <row r="44" spans="1:7" ht="12">
      <c r="A44" s="22">
        <f t="shared" si="1"/>
        <v>43414</v>
      </c>
      <c r="B44" s="15">
        <v>7332216</v>
      </c>
      <c r="C44" s="15">
        <f>78820-23325</f>
        <v>55495</v>
      </c>
      <c r="D44" s="15">
        <f t="shared" si="0"/>
        <v>6800801</v>
      </c>
      <c r="E44" s="15">
        <v>475920</v>
      </c>
      <c r="F44" s="16">
        <f>7770/7</f>
        <v>1110</v>
      </c>
      <c r="G44" s="15">
        <f t="shared" si="4"/>
        <v>61.25096525096525</v>
      </c>
    </row>
    <row r="45" spans="1:7" ht="12">
      <c r="A45" s="22">
        <f aca="true" t="shared" si="8" ref="A45:A63">+A44+7</f>
        <v>43421</v>
      </c>
      <c r="B45" s="15">
        <v>6124501</v>
      </c>
      <c r="C45" s="15">
        <v>61760</v>
      </c>
      <c r="D45" s="15">
        <f aca="true" t="shared" si="9" ref="D45:D63">IF(ISBLANK(B45),"",B45-C45-E45)</f>
        <v>5620494</v>
      </c>
      <c r="E45" s="15">
        <v>442247</v>
      </c>
      <c r="F45" s="16">
        <f>7770/7</f>
        <v>1110</v>
      </c>
      <c r="G45" s="15">
        <f t="shared" si="4"/>
        <v>56.91724581724582</v>
      </c>
    </row>
    <row r="46" spans="1:7" ht="12">
      <c r="A46" s="22">
        <f t="shared" si="8"/>
        <v>43428</v>
      </c>
      <c r="B46" s="15">
        <v>7332161</v>
      </c>
      <c r="C46" s="15">
        <v>63033</v>
      </c>
      <c r="D46" s="15">
        <f t="shared" si="9"/>
        <v>6789085</v>
      </c>
      <c r="E46" s="15">
        <v>480043</v>
      </c>
      <c r="F46" s="16">
        <f>7690/7</f>
        <v>1098.5714285714287</v>
      </c>
      <c r="G46" s="15">
        <f t="shared" si="4"/>
        <v>62.42431729518855</v>
      </c>
    </row>
    <row r="47" spans="1:7" ht="12">
      <c r="A47" s="22">
        <f t="shared" si="8"/>
        <v>43435</v>
      </c>
      <c r="B47" s="15">
        <v>7083889</v>
      </c>
      <c r="C47" s="15">
        <v>79215</v>
      </c>
      <c r="D47" s="15">
        <f t="shared" si="9"/>
        <v>6572354</v>
      </c>
      <c r="E47" s="15">
        <v>432320</v>
      </c>
      <c r="F47" s="16">
        <f aca="true" t="shared" si="10" ref="F47:F52">7630/7</f>
        <v>1090</v>
      </c>
      <c r="G47" s="15">
        <f t="shared" si="4"/>
        <v>56.6605504587156</v>
      </c>
    </row>
    <row r="48" spans="1:7" ht="12">
      <c r="A48" s="22">
        <f t="shared" si="8"/>
        <v>43442</v>
      </c>
      <c r="B48" s="15">
        <v>6613646.43</v>
      </c>
      <c r="C48" s="15">
        <v>61730.3</v>
      </c>
      <c r="D48" s="15">
        <f t="shared" si="9"/>
        <v>6147339.41</v>
      </c>
      <c r="E48" s="15">
        <v>404576.7200000001</v>
      </c>
      <c r="F48" s="16">
        <f t="shared" si="10"/>
        <v>1090</v>
      </c>
      <c r="G48" s="15">
        <f>_xlfn.IFERROR((E48/F48/7)," ")</f>
        <v>53.024471821756244</v>
      </c>
    </row>
    <row r="49" spans="1:7" ht="12">
      <c r="A49" s="22">
        <f t="shared" si="8"/>
        <v>43449</v>
      </c>
      <c r="B49" s="15">
        <v>6235483</v>
      </c>
      <c r="C49" s="15">
        <f>55066-25865</f>
        <v>29201</v>
      </c>
      <c r="D49" s="15">
        <f t="shared" si="9"/>
        <v>5792552</v>
      </c>
      <c r="E49" s="15">
        <v>413730</v>
      </c>
      <c r="F49" s="16">
        <f t="shared" si="10"/>
        <v>1090</v>
      </c>
      <c r="G49" s="15">
        <f t="shared" si="4"/>
        <v>54.22411533420708</v>
      </c>
    </row>
    <row r="50" spans="1:7" ht="12">
      <c r="A50" s="22">
        <f t="shared" si="8"/>
        <v>43456</v>
      </c>
      <c r="B50" s="15">
        <v>5706804</v>
      </c>
      <c r="C50" s="15">
        <v>60300</v>
      </c>
      <c r="D50" s="15">
        <f t="shared" si="9"/>
        <v>5248831</v>
      </c>
      <c r="E50" s="15">
        <v>397673</v>
      </c>
      <c r="F50" s="16">
        <f t="shared" si="10"/>
        <v>1090</v>
      </c>
      <c r="G50" s="15">
        <f t="shared" si="4"/>
        <v>52.119659239842726</v>
      </c>
    </row>
    <row r="51" spans="1:7" ht="12">
      <c r="A51" s="22">
        <f t="shared" si="8"/>
        <v>43463</v>
      </c>
      <c r="B51" s="15">
        <v>7296281</v>
      </c>
      <c r="C51" s="15">
        <v>70521</v>
      </c>
      <c r="D51" s="15">
        <f t="shared" si="9"/>
        <v>6718169</v>
      </c>
      <c r="E51" s="15">
        <v>507591</v>
      </c>
      <c r="F51" s="16">
        <f t="shared" si="10"/>
        <v>1090</v>
      </c>
      <c r="G51" s="15">
        <f t="shared" si="4"/>
        <v>66.52568807339449</v>
      </c>
    </row>
    <row r="52" spans="1:7" ht="12">
      <c r="A52" s="22">
        <f t="shared" si="8"/>
        <v>43470</v>
      </c>
      <c r="B52" s="15">
        <v>8316934</v>
      </c>
      <c r="C52" s="15">
        <v>72145</v>
      </c>
      <c r="D52" s="15">
        <f t="shared" si="9"/>
        <v>7651137</v>
      </c>
      <c r="E52" s="15">
        <v>593652</v>
      </c>
      <c r="F52" s="16">
        <f t="shared" si="10"/>
        <v>1090</v>
      </c>
      <c r="G52" s="15">
        <f t="shared" si="4"/>
        <v>77.80498034076015</v>
      </c>
    </row>
    <row r="53" spans="1:7" ht="12">
      <c r="A53" s="22">
        <f t="shared" si="8"/>
        <v>43477</v>
      </c>
      <c r="B53" s="15">
        <v>5837296</v>
      </c>
      <c r="C53" s="15">
        <f>47352-22830</f>
        <v>24522</v>
      </c>
      <c r="D53" s="15">
        <f t="shared" si="9"/>
        <v>5370662</v>
      </c>
      <c r="E53" s="15">
        <v>442112</v>
      </c>
      <c r="F53" s="16">
        <f aca="true" t="shared" si="11" ref="F53:F58">7630/7</f>
        <v>1090</v>
      </c>
      <c r="G53" s="15">
        <f t="shared" si="4"/>
        <v>57.943905635648754</v>
      </c>
    </row>
    <row r="54" spans="1:7" ht="12">
      <c r="A54" s="22">
        <f t="shared" si="8"/>
        <v>43484</v>
      </c>
      <c r="B54" s="15">
        <v>4691019</v>
      </c>
      <c r="C54" s="15">
        <v>32096</v>
      </c>
      <c r="D54" s="15">
        <f t="shared" si="9"/>
        <v>4351818</v>
      </c>
      <c r="E54" s="15">
        <v>307105</v>
      </c>
      <c r="F54" s="16">
        <f t="shared" si="11"/>
        <v>1090</v>
      </c>
      <c r="G54" s="15">
        <f t="shared" si="4"/>
        <v>40.24967234600262</v>
      </c>
    </row>
    <row r="55" spans="1:7" ht="12">
      <c r="A55" s="22">
        <f t="shared" si="8"/>
        <v>43491</v>
      </c>
      <c r="B55" s="15">
        <v>5547977</v>
      </c>
      <c r="C55" s="15">
        <v>50549</v>
      </c>
      <c r="D55" s="15">
        <f t="shared" si="9"/>
        <v>5116811</v>
      </c>
      <c r="E55" s="15">
        <v>380617</v>
      </c>
      <c r="F55" s="16">
        <f t="shared" si="11"/>
        <v>1090</v>
      </c>
      <c r="G55" s="15">
        <f t="shared" si="4"/>
        <v>49.88427260812582</v>
      </c>
    </row>
    <row r="56" spans="1:7" ht="12">
      <c r="A56" s="22">
        <f t="shared" si="8"/>
        <v>43498</v>
      </c>
      <c r="B56" s="15">
        <v>5268274</v>
      </c>
      <c r="C56" s="15">
        <v>48639</v>
      </c>
      <c r="D56" s="15">
        <f t="shared" si="9"/>
        <v>4876420</v>
      </c>
      <c r="E56" s="15">
        <v>343215</v>
      </c>
      <c r="F56" s="16">
        <f t="shared" si="11"/>
        <v>1090</v>
      </c>
      <c r="G56" s="15">
        <f t="shared" si="4"/>
        <v>44.98230668414154</v>
      </c>
    </row>
    <row r="57" spans="1:7" ht="12">
      <c r="A57" s="22">
        <f t="shared" si="8"/>
        <v>43505</v>
      </c>
      <c r="B57" s="15">
        <v>6141893</v>
      </c>
      <c r="C57" s="15">
        <v>55181</v>
      </c>
      <c r="D57" s="15">
        <f t="shared" si="9"/>
        <v>5662454</v>
      </c>
      <c r="E57" s="15">
        <v>424258</v>
      </c>
      <c r="F57" s="16">
        <f t="shared" si="11"/>
        <v>1090</v>
      </c>
      <c r="G57" s="15">
        <f t="shared" si="4"/>
        <v>55.603931847968546</v>
      </c>
    </row>
    <row r="58" spans="1:7" ht="12">
      <c r="A58" s="22">
        <f t="shared" si="8"/>
        <v>43512</v>
      </c>
      <c r="B58" s="15">
        <v>6268843</v>
      </c>
      <c r="C58" s="15">
        <f>54163-47005</f>
        <v>7158</v>
      </c>
      <c r="D58" s="15">
        <f t="shared" si="9"/>
        <v>5775252</v>
      </c>
      <c r="E58" s="15">
        <v>486433</v>
      </c>
      <c r="F58" s="16">
        <f t="shared" si="11"/>
        <v>1090</v>
      </c>
      <c r="G58" s="15">
        <f t="shared" si="4"/>
        <v>63.75268676277851</v>
      </c>
    </row>
    <row r="59" spans="1:7" ht="12">
      <c r="A59" s="22">
        <f t="shared" si="8"/>
        <v>43519</v>
      </c>
      <c r="B59" s="15">
        <v>5814256</v>
      </c>
      <c r="C59" s="15">
        <v>51939</v>
      </c>
      <c r="D59" s="15">
        <f t="shared" si="9"/>
        <v>5381679</v>
      </c>
      <c r="E59" s="15">
        <v>380638</v>
      </c>
      <c r="F59" s="16">
        <f>7630/7</f>
        <v>1090</v>
      </c>
      <c r="G59" s="15">
        <f t="shared" si="4"/>
        <v>49.8870249017038</v>
      </c>
    </row>
    <row r="60" spans="1:7" ht="12">
      <c r="A60" s="22">
        <f t="shared" si="8"/>
        <v>43526</v>
      </c>
      <c r="B60" s="15">
        <v>5554744</v>
      </c>
      <c r="C60" s="15">
        <v>22462</v>
      </c>
      <c r="D60" s="15">
        <f t="shared" si="9"/>
        <v>5138234</v>
      </c>
      <c r="E60" s="15">
        <v>394048</v>
      </c>
      <c r="F60" s="16">
        <f>7630/7</f>
        <v>1090</v>
      </c>
      <c r="G60" s="15">
        <f t="shared" si="4"/>
        <v>51.64456094364351</v>
      </c>
    </row>
    <row r="61" spans="1:7" ht="12">
      <c r="A61" s="22">
        <f t="shared" si="8"/>
        <v>43533</v>
      </c>
      <c r="B61" s="15">
        <v>4858964</v>
      </c>
      <c r="C61" s="15">
        <v>0</v>
      </c>
      <c r="D61" s="15">
        <f t="shared" si="9"/>
        <v>4520005</v>
      </c>
      <c r="E61" s="15">
        <v>338959</v>
      </c>
      <c r="F61" s="16">
        <f>7630/7</f>
        <v>1090</v>
      </c>
      <c r="G61" s="15">
        <f t="shared" si="4"/>
        <v>44.424508519003936</v>
      </c>
    </row>
    <row r="62" spans="1:7" ht="12">
      <c r="A62" s="22">
        <f t="shared" si="8"/>
        <v>43540</v>
      </c>
      <c r="B62" s="15">
        <v>4626050</v>
      </c>
      <c r="C62" s="15">
        <f>0-1138</f>
        <v>-1138</v>
      </c>
      <c r="D62" s="15">
        <f t="shared" si="9"/>
        <v>4246492</v>
      </c>
      <c r="E62" s="15">
        <v>380696</v>
      </c>
      <c r="F62" s="16">
        <f>7630/7</f>
        <v>1090</v>
      </c>
      <c r="G62" s="15">
        <f t="shared" si="4"/>
        <v>49.89462647444299</v>
      </c>
    </row>
    <row r="63" spans="1:7" ht="12">
      <c r="A63" s="22">
        <f t="shared" si="8"/>
        <v>43547</v>
      </c>
      <c r="B63" s="15">
        <v>4484473</v>
      </c>
      <c r="C63" s="15">
        <v>0</v>
      </c>
      <c r="D63" s="15">
        <f t="shared" si="9"/>
        <v>4147327</v>
      </c>
      <c r="E63" s="15">
        <v>337146</v>
      </c>
      <c r="F63" s="16">
        <f>7630/7</f>
        <v>1090</v>
      </c>
      <c r="G63" s="15">
        <f t="shared" si="4"/>
        <v>44.18689384010485</v>
      </c>
    </row>
    <row r="64" ht="12">
      <c r="A64" s="22"/>
    </row>
    <row r="65" spans="1:7" ht="12.75" thickBot="1">
      <c r="A65" s="3" t="s">
        <v>8</v>
      </c>
      <c r="B65" s="17">
        <f>SUM(B12:B64)</f>
        <v>424552700.34</v>
      </c>
      <c r="C65" s="17">
        <f>SUM(C12:C64)</f>
        <v>1864508.9000000001</v>
      </c>
      <c r="D65" s="17">
        <f>SUM(D12:D64)</f>
        <v>392287686.82</v>
      </c>
      <c r="E65" s="17">
        <f>SUM(E12:E64)</f>
        <v>30400504.619999997</v>
      </c>
      <c r="F65" s="24">
        <f>SUM(F12:F64)/COUNT(F12:F64)</f>
        <v>1103.2417582417581</v>
      </c>
      <c r="G65" s="17">
        <f>+E65/SUM(F12:F64)/7</f>
        <v>75.70223771104138</v>
      </c>
    </row>
    <row r="66" spans="1:5" s="21" customFormat="1" ht="12.75" thickTop="1">
      <c r="A66" s="19"/>
      <c r="B66" s="20"/>
      <c r="C66" s="20"/>
      <c r="D66" s="20"/>
      <c r="E66" s="20"/>
    </row>
  </sheetData>
  <sheetProtection/>
  <mergeCells count="6">
    <mergeCell ref="A7:G7"/>
    <mergeCell ref="A1:G1"/>
    <mergeCell ref="A2:G2"/>
    <mergeCell ref="A3:G3"/>
    <mergeCell ref="A4:G4"/>
    <mergeCell ref="A5:G5"/>
  </mergeCells>
  <hyperlinks>
    <hyperlink ref="A4" r:id="rId1" display="www.monticellocasinoandraceway.com"/>
  </hyperlinks>
  <printOptions horizontalCentered="1"/>
  <pageMargins left="0" right="0" top="0.5" bottom="0.5" header="0.5" footer="0.5"/>
  <pageSetup fitToHeight="1" fitToWidth="1" horizontalDpi="600" verticalDpi="600" orientation="portrait" scale="8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11" topLeftCell="A51" activePane="bottomLeft" state="frozen"/>
      <selection pane="topLeft" activeCell="A1" sqref="A1"/>
      <selection pane="bottomLeft" activeCell="A70" sqref="A70"/>
    </sheetView>
  </sheetViews>
  <sheetFormatPr defaultColWidth="9.140625" defaultRowHeight="12.75"/>
  <cols>
    <col min="1" max="1" width="15.140625" style="3" customWidth="1"/>
    <col min="2" max="5" width="15.140625" style="15" customWidth="1"/>
    <col min="6" max="6" width="15.140625" style="16" customWidth="1"/>
    <col min="7" max="7" width="15.140625" style="15" customWidth="1"/>
  </cols>
  <sheetData>
    <row r="1" spans="1:11" ht="18">
      <c r="A1" s="35" t="s">
        <v>16</v>
      </c>
      <c r="B1" s="35"/>
      <c r="C1" s="35"/>
      <c r="D1" s="35"/>
      <c r="E1" s="35"/>
      <c r="F1" s="35"/>
      <c r="G1" s="35"/>
      <c r="H1" s="26"/>
      <c r="I1" s="26"/>
      <c r="J1" s="26"/>
      <c r="K1" s="26"/>
    </row>
    <row r="2" spans="1:11" ht="15">
      <c r="A2" s="36" t="s">
        <v>17</v>
      </c>
      <c r="B2" s="36"/>
      <c r="C2" s="36"/>
      <c r="D2" s="36"/>
      <c r="E2" s="36"/>
      <c r="F2" s="36"/>
      <c r="G2" s="36"/>
      <c r="H2" s="27"/>
      <c r="I2" s="27"/>
      <c r="J2" s="27"/>
      <c r="K2" s="27"/>
    </row>
    <row r="3" spans="1:11" s="1" customFormat="1" ht="15">
      <c r="A3" s="36" t="s">
        <v>18</v>
      </c>
      <c r="B3" s="36"/>
      <c r="C3" s="36"/>
      <c r="D3" s="36"/>
      <c r="E3" s="36"/>
      <c r="F3" s="36"/>
      <c r="G3" s="36"/>
      <c r="H3" s="27"/>
      <c r="I3" s="27"/>
      <c r="J3" s="27"/>
      <c r="K3" s="27"/>
    </row>
    <row r="4" spans="1:11" s="1" customFormat="1" ht="15">
      <c r="A4" s="37" t="s">
        <v>27</v>
      </c>
      <c r="B4" s="37"/>
      <c r="C4" s="37"/>
      <c r="D4" s="37"/>
      <c r="E4" s="37"/>
      <c r="F4" s="37"/>
      <c r="G4" s="37"/>
      <c r="H4" s="28"/>
      <c r="I4" s="28"/>
      <c r="J4" s="28"/>
      <c r="K4" s="28"/>
    </row>
    <row r="5" spans="1:11" s="1" customFormat="1" ht="13.5">
      <c r="A5" s="38" t="s">
        <v>20</v>
      </c>
      <c r="B5" s="38"/>
      <c r="C5" s="38"/>
      <c r="D5" s="38"/>
      <c r="E5" s="38"/>
      <c r="F5" s="38"/>
      <c r="G5" s="38"/>
      <c r="H5" s="29"/>
      <c r="I5" s="29"/>
      <c r="J5" s="29"/>
      <c r="K5" s="29"/>
    </row>
    <row r="6" spans="1:11" s="1" customFormat="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1" customFormat="1" ht="12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32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1.25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1.25">
      <c r="A11" s="13" t="s">
        <v>11</v>
      </c>
      <c r="B11" s="8" t="s">
        <v>3</v>
      </c>
      <c r="C11" s="8" t="s">
        <v>26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">
      <c r="A13" s="22">
        <v>42826</v>
      </c>
      <c r="B13" s="15">
        <v>17201602</v>
      </c>
      <c r="C13" s="15">
        <v>218763.8</v>
      </c>
      <c r="D13" s="15">
        <f>+B13-C13-E13</f>
        <v>15874074.2</v>
      </c>
      <c r="E13" s="15">
        <v>1108764</v>
      </c>
      <c r="F13" s="16">
        <f>7770/7</f>
        <v>1110</v>
      </c>
      <c r="G13" s="15">
        <v>143</v>
      </c>
    </row>
    <row r="14" spans="1:7" ht="12">
      <c r="A14" s="22">
        <f aca="true" t="shared" si="0" ref="A14:A64">+A13+7</f>
        <v>42833</v>
      </c>
      <c r="B14" s="15">
        <v>18378548</v>
      </c>
      <c r="C14" s="15">
        <v>274506.86</v>
      </c>
      <c r="D14" s="15">
        <f>IF(ISBLANK(B14),"",B14-C14-E14)</f>
        <v>16960328.14</v>
      </c>
      <c r="E14" s="15">
        <v>1143713</v>
      </c>
      <c r="F14" s="16">
        <f>7770/7</f>
        <v>1110</v>
      </c>
      <c r="G14" s="15">
        <v>147</v>
      </c>
    </row>
    <row r="15" spans="1:7" ht="12">
      <c r="A15" s="22">
        <f t="shared" si="0"/>
        <v>42840</v>
      </c>
      <c r="B15" s="15">
        <v>16504400</v>
      </c>
      <c r="C15" s="15">
        <f>212942.45-33333</f>
        <v>179609.45</v>
      </c>
      <c r="D15" s="15">
        <f aca="true" t="shared" si="1" ref="D15:D64">IF(ISBLANK(B15),"",B15-C15-E15)</f>
        <v>15266997.55</v>
      </c>
      <c r="E15" s="15">
        <v>1057793</v>
      </c>
      <c r="F15" s="16">
        <v>1110</v>
      </c>
      <c r="G15" s="15">
        <v>136</v>
      </c>
    </row>
    <row r="16" spans="1:7" ht="12">
      <c r="A16" s="22">
        <f t="shared" si="0"/>
        <v>42847</v>
      </c>
      <c r="B16" s="15">
        <v>17636713</v>
      </c>
      <c r="C16" s="15">
        <v>222611.6</v>
      </c>
      <c r="D16" s="15">
        <f t="shared" si="1"/>
        <v>16261199.399999999</v>
      </c>
      <c r="E16" s="15">
        <v>1152902</v>
      </c>
      <c r="F16" s="16">
        <f aca="true" t="shared" si="2" ref="F16:F21">7770/7</f>
        <v>1110</v>
      </c>
      <c r="G16" s="15">
        <v>148</v>
      </c>
    </row>
    <row r="17" spans="1:7" ht="12">
      <c r="A17" s="22">
        <f t="shared" si="0"/>
        <v>42854</v>
      </c>
      <c r="B17" s="15">
        <v>18466076</v>
      </c>
      <c r="C17" s="15">
        <v>248319.25</v>
      </c>
      <c r="D17" s="15">
        <f t="shared" si="1"/>
        <v>16941738.75</v>
      </c>
      <c r="E17" s="15">
        <v>1276018</v>
      </c>
      <c r="F17" s="16">
        <f t="shared" si="2"/>
        <v>1110</v>
      </c>
      <c r="G17" s="15">
        <v>164</v>
      </c>
    </row>
    <row r="18" spans="1:7" ht="12">
      <c r="A18" s="22">
        <f t="shared" si="0"/>
        <v>42861</v>
      </c>
      <c r="B18" s="15">
        <v>17622826</v>
      </c>
      <c r="C18" s="15">
        <v>215935.8</v>
      </c>
      <c r="D18" s="15">
        <f t="shared" si="1"/>
        <v>16206004.2</v>
      </c>
      <c r="E18" s="15">
        <v>1200886</v>
      </c>
      <c r="F18" s="16">
        <f t="shared" si="2"/>
        <v>1110</v>
      </c>
      <c r="G18" s="15">
        <v>155</v>
      </c>
    </row>
    <row r="19" spans="1:7" ht="12">
      <c r="A19" s="22">
        <f t="shared" si="0"/>
        <v>42868</v>
      </c>
      <c r="B19" s="15">
        <v>18034541</v>
      </c>
      <c r="C19" s="15">
        <f>238675.99-38555</f>
        <v>200120.99</v>
      </c>
      <c r="D19" s="15">
        <f t="shared" si="1"/>
        <v>16679611.010000002</v>
      </c>
      <c r="E19" s="15">
        <v>1154809</v>
      </c>
      <c r="F19" s="16">
        <f t="shared" si="2"/>
        <v>1110</v>
      </c>
      <c r="G19" s="15">
        <v>149</v>
      </c>
    </row>
    <row r="20" spans="1:7" ht="12">
      <c r="A20" s="22">
        <f t="shared" si="0"/>
        <v>42875</v>
      </c>
      <c r="B20" s="15">
        <v>18072406</v>
      </c>
      <c r="C20" s="15">
        <v>256379.72</v>
      </c>
      <c r="D20" s="15">
        <f t="shared" si="1"/>
        <v>16594023.280000001</v>
      </c>
      <c r="E20" s="15">
        <v>1222003</v>
      </c>
      <c r="F20" s="16">
        <f t="shared" si="2"/>
        <v>1110</v>
      </c>
      <c r="G20" s="15">
        <v>157</v>
      </c>
    </row>
    <row r="21" spans="1:7" ht="12">
      <c r="A21" s="22">
        <f t="shared" si="0"/>
        <v>42882</v>
      </c>
      <c r="B21" s="15">
        <v>19019062</v>
      </c>
      <c r="C21" s="15">
        <v>244416.49</v>
      </c>
      <c r="D21" s="15">
        <f t="shared" si="1"/>
        <v>17534188.51</v>
      </c>
      <c r="E21" s="15">
        <v>1240457</v>
      </c>
      <c r="F21" s="16">
        <f t="shared" si="2"/>
        <v>1110</v>
      </c>
      <c r="G21" s="15">
        <v>160</v>
      </c>
    </row>
    <row r="22" spans="1:7" ht="12">
      <c r="A22" s="22">
        <f t="shared" si="0"/>
        <v>42889</v>
      </c>
      <c r="B22" s="15">
        <v>20140181</v>
      </c>
      <c r="C22" s="15">
        <v>263179.51</v>
      </c>
      <c r="D22" s="15">
        <f t="shared" si="1"/>
        <v>18537096.49</v>
      </c>
      <c r="E22" s="15">
        <v>1339905</v>
      </c>
      <c r="F22" s="16">
        <f>7770/7</f>
        <v>1110</v>
      </c>
      <c r="G22" s="15">
        <v>172</v>
      </c>
    </row>
    <row r="23" spans="1:7" ht="12">
      <c r="A23" s="22">
        <f t="shared" si="0"/>
        <v>42896</v>
      </c>
      <c r="B23" s="15">
        <v>18665097</v>
      </c>
      <c r="C23" s="15">
        <f>255332.2-41015</f>
        <v>214317.2</v>
      </c>
      <c r="D23" s="15">
        <f t="shared" si="1"/>
        <v>17219851.8</v>
      </c>
      <c r="E23" s="15">
        <v>1230928</v>
      </c>
      <c r="F23" s="16">
        <v>1110</v>
      </c>
      <c r="G23" s="15">
        <v>158</v>
      </c>
    </row>
    <row r="24" spans="1:7" ht="12">
      <c r="A24" s="22">
        <f t="shared" si="0"/>
        <v>42903</v>
      </c>
      <c r="B24" s="15">
        <v>17698660</v>
      </c>
      <c r="C24" s="15">
        <v>252868.6</v>
      </c>
      <c r="D24" s="15">
        <f t="shared" si="1"/>
        <v>16378381.399999999</v>
      </c>
      <c r="E24" s="15">
        <v>1067410</v>
      </c>
      <c r="F24" s="16">
        <f>7770/7</f>
        <v>1110</v>
      </c>
      <c r="G24" s="15">
        <v>137</v>
      </c>
    </row>
    <row r="25" spans="1:7" ht="12">
      <c r="A25" s="22">
        <f t="shared" si="0"/>
        <v>42910</v>
      </c>
      <c r="B25" s="15">
        <v>18624421</v>
      </c>
      <c r="C25" s="15">
        <v>256693.6</v>
      </c>
      <c r="D25" s="15">
        <f t="shared" si="1"/>
        <v>17161958.4</v>
      </c>
      <c r="E25" s="15">
        <v>1205769</v>
      </c>
      <c r="F25" s="16">
        <f>7770/7</f>
        <v>1110</v>
      </c>
      <c r="G25" s="15">
        <v>155</v>
      </c>
    </row>
    <row r="26" spans="1:7" ht="12">
      <c r="A26" s="22">
        <f t="shared" si="0"/>
        <v>42917</v>
      </c>
      <c r="B26" s="15">
        <v>17988000</v>
      </c>
      <c r="C26" s="15">
        <v>221392.99</v>
      </c>
      <c r="D26" s="15">
        <f t="shared" si="1"/>
        <v>16636608.010000002</v>
      </c>
      <c r="E26" s="15">
        <v>1129999</v>
      </c>
      <c r="F26" s="16">
        <v>1110</v>
      </c>
      <c r="G26" s="15">
        <v>145</v>
      </c>
    </row>
    <row r="27" spans="1:7" ht="12">
      <c r="A27" s="22">
        <f t="shared" si="0"/>
        <v>42924</v>
      </c>
      <c r="B27" s="15">
        <v>23511172</v>
      </c>
      <c r="C27" s="15">
        <v>276511.6</v>
      </c>
      <c r="D27" s="15">
        <f t="shared" si="1"/>
        <v>21721805.4</v>
      </c>
      <c r="E27" s="15">
        <v>1512855</v>
      </c>
      <c r="F27" s="16">
        <f>7770/7</f>
        <v>1110</v>
      </c>
      <c r="G27" s="15">
        <v>195</v>
      </c>
    </row>
    <row r="28" spans="1:7" ht="12">
      <c r="A28" s="22">
        <f t="shared" si="0"/>
        <v>42931</v>
      </c>
      <c r="B28" s="15">
        <v>20055254</v>
      </c>
      <c r="C28" s="15">
        <v>251686.34</v>
      </c>
      <c r="D28" s="15">
        <f t="shared" si="1"/>
        <v>18481033.66</v>
      </c>
      <c r="E28" s="15">
        <v>1322534</v>
      </c>
      <c r="F28" s="16">
        <f>7770/7</f>
        <v>1110</v>
      </c>
      <c r="G28" s="15">
        <v>170</v>
      </c>
    </row>
    <row r="29" spans="1:7" ht="12">
      <c r="A29" s="22">
        <f t="shared" si="0"/>
        <v>42938</v>
      </c>
      <c r="B29" s="15">
        <v>18782328</v>
      </c>
      <c r="C29" s="15">
        <f>270365.9-66611</f>
        <v>203754.90000000002</v>
      </c>
      <c r="D29" s="15">
        <f t="shared" si="1"/>
        <v>17299635.1</v>
      </c>
      <c r="E29" s="15">
        <v>1278938</v>
      </c>
      <c r="F29" s="16">
        <f>7770/7</f>
        <v>1110</v>
      </c>
      <c r="G29" s="15">
        <v>165</v>
      </c>
    </row>
    <row r="30" spans="1:7" ht="12">
      <c r="A30" s="22">
        <f t="shared" si="0"/>
        <v>42945</v>
      </c>
      <c r="B30" s="15">
        <v>20120351</v>
      </c>
      <c r="C30" s="15">
        <v>279275.99</v>
      </c>
      <c r="D30" s="15">
        <f t="shared" si="1"/>
        <v>18581349.01</v>
      </c>
      <c r="E30" s="15">
        <v>1259726</v>
      </c>
      <c r="F30" s="16">
        <v>1110</v>
      </c>
      <c r="G30" s="15">
        <v>162</v>
      </c>
    </row>
    <row r="31" spans="1:7" ht="12">
      <c r="A31" s="22">
        <f t="shared" si="0"/>
        <v>42952</v>
      </c>
      <c r="B31" s="15">
        <v>19149750</v>
      </c>
      <c r="C31" s="15">
        <v>246874.52</v>
      </c>
      <c r="D31" s="15">
        <f t="shared" si="1"/>
        <v>17640435.48</v>
      </c>
      <c r="E31" s="15">
        <v>1262440</v>
      </c>
      <c r="F31" s="16">
        <f aca="true" t="shared" si="3" ref="F31:F36">7770/7</f>
        <v>1110</v>
      </c>
      <c r="G31" s="15">
        <v>162</v>
      </c>
    </row>
    <row r="32" spans="1:7" ht="12">
      <c r="A32" s="22">
        <f t="shared" si="0"/>
        <v>42959</v>
      </c>
      <c r="B32" s="15">
        <v>20401159</v>
      </c>
      <c r="C32" s="15">
        <v>280300</v>
      </c>
      <c r="D32" s="15">
        <f t="shared" si="1"/>
        <v>18747850</v>
      </c>
      <c r="E32" s="15">
        <v>1373009</v>
      </c>
      <c r="F32" s="16">
        <f t="shared" si="3"/>
        <v>1110</v>
      </c>
      <c r="G32" s="15">
        <v>177</v>
      </c>
    </row>
    <row r="33" spans="1:7" ht="12">
      <c r="A33" s="22">
        <f t="shared" si="0"/>
        <v>42966</v>
      </c>
      <c r="B33" s="15">
        <v>18167765</v>
      </c>
      <c r="C33" s="15">
        <f>245395-42190</f>
        <v>203205</v>
      </c>
      <c r="D33" s="15">
        <f t="shared" si="1"/>
        <v>16727154</v>
      </c>
      <c r="E33" s="15">
        <v>1237406</v>
      </c>
      <c r="F33" s="16">
        <f t="shared" si="3"/>
        <v>1110</v>
      </c>
      <c r="G33" s="15">
        <v>159</v>
      </c>
    </row>
    <row r="34" spans="1:7" ht="12">
      <c r="A34" s="22">
        <f t="shared" si="0"/>
        <v>42973</v>
      </c>
      <c r="B34" s="15">
        <v>20356436</v>
      </c>
      <c r="C34" s="15">
        <v>299580</v>
      </c>
      <c r="D34" s="15">
        <f t="shared" si="1"/>
        <v>18678408</v>
      </c>
      <c r="E34" s="15">
        <v>1378448</v>
      </c>
      <c r="F34" s="16">
        <f t="shared" si="3"/>
        <v>1110</v>
      </c>
      <c r="G34" s="15">
        <v>178</v>
      </c>
    </row>
    <row r="35" spans="1:7" ht="12">
      <c r="A35" s="22">
        <f t="shared" si="0"/>
        <v>42980</v>
      </c>
      <c r="B35" s="15">
        <v>19174747</v>
      </c>
      <c r="C35" s="15">
        <v>267595</v>
      </c>
      <c r="D35" s="15">
        <f t="shared" si="1"/>
        <v>17671942</v>
      </c>
      <c r="E35" s="15">
        <v>1235210</v>
      </c>
      <c r="F35" s="16">
        <f t="shared" si="3"/>
        <v>1110</v>
      </c>
      <c r="G35" s="15">
        <v>159</v>
      </c>
    </row>
    <row r="36" spans="1:7" ht="12">
      <c r="A36" s="22">
        <f t="shared" si="0"/>
        <v>42987</v>
      </c>
      <c r="B36" s="15">
        <v>21494286</v>
      </c>
      <c r="C36" s="15">
        <v>295501</v>
      </c>
      <c r="D36" s="15">
        <f t="shared" si="1"/>
        <v>19827512</v>
      </c>
      <c r="E36" s="15">
        <v>1371273</v>
      </c>
      <c r="F36" s="16">
        <f t="shared" si="3"/>
        <v>1110</v>
      </c>
      <c r="G36" s="15">
        <v>176</v>
      </c>
    </row>
    <row r="37" spans="1:7" ht="12">
      <c r="A37" s="22">
        <f t="shared" si="0"/>
        <v>42994</v>
      </c>
      <c r="B37" s="15">
        <v>16691153</v>
      </c>
      <c r="C37" s="15">
        <v>269130</v>
      </c>
      <c r="D37" s="15">
        <f t="shared" si="1"/>
        <v>15403566</v>
      </c>
      <c r="E37" s="15">
        <v>1018457</v>
      </c>
      <c r="F37" s="16">
        <f aca="true" t="shared" si="4" ref="F37:F42">7770/7</f>
        <v>1110</v>
      </c>
      <c r="G37" s="15">
        <v>131</v>
      </c>
    </row>
    <row r="38" spans="1:7" ht="12">
      <c r="A38" s="22">
        <f t="shared" si="0"/>
        <v>43001</v>
      </c>
      <c r="B38" s="15">
        <v>18637856</v>
      </c>
      <c r="C38" s="15">
        <v>293522</v>
      </c>
      <c r="D38" s="15">
        <f t="shared" si="1"/>
        <v>17140157</v>
      </c>
      <c r="E38" s="15">
        <v>1204177</v>
      </c>
      <c r="F38" s="16">
        <f t="shared" si="4"/>
        <v>1110</v>
      </c>
      <c r="G38" s="15">
        <v>155</v>
      </c>
    </row>
    <row r="39" spans="1:7" ht="12">
      <c r="A39" s="22">
        <f t="shared" si="0"/>
        <v>43008</v>
      </c>
      <c r="B39" s="15">
        <v>18651984</v>
      </c>
      <c r="C39" s="15">
        <v>291744</v>
      </c>
      <c r="D39" s="15">
        <f t="shared" si="1"/>
        <v>17337945</v>
      </c>
      <c r="E39" s="15">
        <v>1022295</v>
      </c>
      <c r="F39" s="16">
        <f t="shared" si="4"/>
        <v>1110</v>
      </c>
      <c r="G39" s="15">
        <v>132</v>
      </c>
    </row>
    <row r="40" spans="1:7" ht="12">
      <c r="A40" s="22">
        <f t="shared" si="0"/>
        <v>43015</v>
      </c>
      <c r="B40" s="15">
        <v>19687476</v>
      </c>
      <c r="C40" s="15">
        <f>284295-51875</f>
        <v>232420</v>
      </c>
      <c r="D40" s="15">
        <f t="shared" si="1"/>
        <v>18211461</v>
      </c>
      <c r="E40" s="15">
        <v>1243595</v>
      </c>
      <c r="F40" s="16">
        <f t="shared" si="4"/>
        <v>1110</v>
      </c>
      <c r="G40" s="15">
        <v>160</v>
      </c>
    </row>
    <row r="41" spans="1:7" ht="12">
      <c r="A41" s="22">
        <f t="shared" si="0"/>
        <v>43022</v>
      </c>
      <c r="B41" s="15">
        <v>18688268</v>
      </c>
      <c r="C41" s="15">
        <v>262863</v>
      </c>
      <c r="D41" s="15">
        <f t="shared" si="1"/>
        <v>17258205</v>
      </c>
      <c r="E41" s="15">
        <v>1167200</v>
      </c>
      <c r="F41" s="16">
        <f t="shared" si="4"/>
        <v>1110</v>
      </c>
      <c r="G41" s="15">
        <v>150</v>
      </c>
    </row>
    <row r="42" spans="1:7" ht="12">
      <c r="A42" s="22">
        <f t="shared" si="0"/>
        <v>43029</v>
      </c>
      <c r="B42" s="15">
        <v>18006151</v>
      </c>
      <c r="C42" s="15">
        <v>233575</v>
      </c>
      <c r="D42" s="15">
        <f t="shared" si="1"/>
        <v>16635330</v>
      </c>
      <c r="E42" s="15">
        <v>1137246</v>
      </c>
      <c r="F42" s="16">
        <f t="shared" si="4"/>
        <v>1110</v>
      </c>
      <c r="G42" s="15">
        <v>146</v>
      </c>
    </row>
    <row r="43" spans="1:7" ht="12">
      <c r="A43" s="22">
        <f t="shared" si="0"/>
        <v>43036</v>
      </c>
      <c r="B43" s="15">
        <v>17832076</v>
      </c>
      <c r="C43" s="15">
        <f>274335-169113</f>
        <v>105222</v>
      </c>
      <c r="D43" s="15">
        <f t="shared" si="1"/>
        <v>16447925</v>
      </c>
      <c r="E43" s="15">
        <v>1278929</v>
      </c>
      <c r="F43" s="16">
        <f aca="true" t="shared" si="5" ref="F43:F48">7770/7</f>
        <v>1110</v>
      </c>
      <c r="G43" s="15">
        <v>165</v>
      </c>
    </row>
    <row r="44" spans="1:7" ht="12">
      <c r="A44" s="22">
        <f t="shared" si="0"/>
        <v>43043</v>
      </c>
      <c r="B44" s="15">
        <v>16299998</v>
      </c>
      <c r="C44" s="15">
        <v>246969</v>
      </c>
      <c r="D44" s="15">
        <f t="shared" si="1"/>
        <v>15091754</v>
      </c>
      <c r="E44" s="15">
        <v>961275</v>
      </c>
      <c r="F44" s="16">
        <f t="shared" si="5"/>
        <v>1110</v>
      </c>
      <c r="G44" s="15">
        <v>124</v>
      </c>
    </row>
    <row r="45" spans="1:7" ht="12">
      <c r="A45" s="22">
        <f t="shared" si="0"/>
        <v>43050</v>
      </c>
      <c r="B45" s="15">
        <v>16120672</v>
      </c>
      <c r="C45" s="15">
        <v>160280</v>
      </c>
      <c r="D45" s="15">
        <f t="shared" si="1"/>
        <v>14964767</v>
      </c>
      <c r="E45" s="15">
        <v>995625</v>
      </c>
      <c r="F45" s="16">
        <f t="shared" si="5"/>
        <v>1110</v>
      </c>
      <c r="G45" s="15">
        <v>128</v>
      </c>
    </row>
    <row r="46" spans="1:7" ht="12">
      <c r="A46" s="22">
        <f t="shared" si="0"/>
        <v>43057</v>
      </c>
      <c r="B46" s="15">
        <v>14665855</v>
      </c>
      <c r="C46" s="15">
        <f>153389-75102</f>
        <v>78287</v>
      </c>
      <c r="D46" s="15">
        <f t="shared" si="1"/>
        <v>13526231</v>
      </c>
      <c r="E46" s="15">
        <v>1061337</v>
      </c>
      <c r="F46" s="16">
        <f t="shared" si="5"/>
        <v>1110</v>
      </c>
      <c r="G46" s="15">
        <v>137</v>
      </c>
    </row>
    <row r="47" spans="1:7" ht="12">
      <c r="A47" s="22">
        <f t="shared" si="0"/>
        <v>43064</v>
      </c>
      <c r="B47" s="15">
        <v>15760593</v>
      </c>
      <c r="C47" s="15">
        <v>160217</v>
      </c>
      <c r="D47" s="15">
        <f t="shared" si="1"/>
        <v>14569004</v>
      </c>
      <c r="E47" s="15">
        <v>1031372</v>
      </c>
      <c r="F47" s="16">
        <f t="shared" si="5"/>
        <v>1110</v>
      </c>
      <c r="G47" s="15">
        <v>133</v>
      </c>
    </row>
    <row r="48" spans="1:7" ht="12">
      <c r="A48" s="22">
        <f t="shared" si="0"/>
        <v>43071</v>
      </c>
      <c r="B48" s="15">
        <v>16207535</v>
      </c>
      <c r="C48" s="15">
        <v>177045</v>
      </c>
      <c r="D48" s="15">
        <f t="shared" si="1"/>
        <v>14903394</v>
      </c>
      <c r="E48" s="15">
        <v>1127096</v>
      </c>
      <c r="F48" s="16">
        <f t="shared" si="5"/>
        <v>1110</v>
      </c>
      <c r="G48" s="15">
        <v>145</v>
      </c>
    </row>
    <row r="49" spans="1:7" ht="12">
      <c r="A49" s="22">
        <f t="shared" si="0"/>
        <v>43078</v>
      </c>
      <c r="B49" s="15">
        <v>11352273</v>
      </c>
      <c r="C49" s="15">
        <v>154570</v>
      </c>
      <c r="D49" s="15">
        <f t="shared" si="1"/>
        <v>10538609</v>
      </c>
      <c r="E49" s="15">
        <v>659094</v>
      </c>
      <c r="F49" s="16">
        <f aca="true" t="shared" si="6" ref="F49:F54">7770/7</f>
        <v>1110</v>
      </c>
      <c r="G49" s="15">
        <v>85</v>
      </c>
    </row>
    <row r="50" spans="1:7" ht="12">
      <c r="A50" s="22">
        <f t="shared" si="0"/>
        <v>43085</v>
      </c>
      <c r="B50" s="15">
        <v>11720025</v>
      </c>
      <c r="C50" s="15">
        <v>136705</v>
      </c>
      <c r="D50" s="15">
        <f t="shared" si="1"/>
        <v>10833670</v>
      </c>
      <c r="E50" s="15">
        <v>749650</v>
      </c>
      <c r="F50" s="16">
        <f t="shared" si="6"/>
        <v>1110</v>
      </c>
      <c r="G50" s="15">
        <v>96</v>
      </c>
    </row>
    <row r="51" spans="1:7" ht="12">
      <c r="A51" s="22">
        <f t="shared" si="0"/>
        <v>43092</v>
      </c>
      <c r="B51" s="15">
        <v>12014056</v>
      </c>
      <c r="C51" s="15">
        <f>157829-43705</f>
        <v>114124</v>
      </c>
      <c r="D51" s="15">
        <f t="shared" si="1"/>
        <v>11138593</v>
      </c>
      <c r="E51" s="15">
        <v>761339</v>
      </c>
      <c r="F51" s="16">
        <f t="shared" si="6"/>
        <v>1110</v>
      </c>
      <c r="G51" s="15">
        <v>98</v>
      </c>
    </row>
    <row r="52" spans="1:7" ht="12">
      <c r="A52" s="22">
        <f t="shared" si="0"/>
        <v>43099</v>
      </c>
      <c r="B52" s="15">
        <v>13119816</v>
      </c>
      <c r="C52" s="15">
        <v>189685</v>
      </c>
      <c r="D52" s="15">
        <f t="shared" si="1"/>
        <v>12069232</v>
      </c>
      <c r="E52" s="15">
        <v>860899</v>
      </c>
      <c r="F52" s="16">
        <f t="shared" si="6"/>
        <v>1110</v>
      </c>
      <c r="G52" s="15">
        <v>111</v>
      </c>
    </row>
    <row r="53" spans="1:7" ht="12">
      <c r="A53" s="22">
        <f t="shared" si="0"/>
        <v>43106</v>
      </c>
      <c r="B53" s="15">
        <v>13132089</v>
      </c>
      <c r="C53" s="15">
        <v>74269</v>
      </c>
      <c r="D53" s="15">
        <f t="shared" si="1"/>
        <v>12187315</v>
      </c>
      <c r="E53" s="15">
        <v>870505</v>
      </c>
      <c r="F53" s="16">
        <f t="shared" si="6"/>
        <v>1110</v>
      </c>
      <c r="G53" s="15">
        <v>112</v>
      </c>
    </row>
    <row r="54" spans="1:7" ht="12">
      <c r="A54" s="22">
        <f t="shared" si="0"/>
        <v>43113</v>
      </c>
      <c r="B54" s="15">
        <v>12555339</v>
      </c>
      <c r="C54" s="15">
        <v>72469</v>
      </c>
      <c r="D54" s="15">
        <f t="shared" si="1"/>
        <v>11669680</v>
      </c>
      <c r="E54" s="15">
        <v>813190</v>
      </c>
      <c r="F54" s="16">
        <f t="shared" si="6"/>
        <v>1110</v>
      </c>
      <c r="G54" s="15">
        <v>105</v>
      </c>
    </row>
    <row r="55" spans="1:7" ht="12">
      <c r="A55" s="22">
        <f t="shared" si="0"/>
        <v>43120</v>
      </c>
      <c r="B55" s="15">
        <v>13612494</v>
      </c>
      <c r="C55" s="15">
        <v>65564</v>
      </c>
      <c r="D55" s="15">
        <f t="shared" si="1"/>
        <v>12609677</v>
      </c>
      <c r="E55" s="15">
        <v>937253</v>
      </c>
      <c r="F55" s="16">
        <f aca="true" t="shared" si="7" ref="F55:F60">7770/7</f>
        <v>1110</v>
      </c>
      <c r="G55" s="15">
        <v>121</v>
      </c>
    </row>
    <row r="56" spans="1:7" ht="12">
      <c r="A56" s="22">
        <f t="shared" si="0"/>
        <v>43127</v>
      </c>
      <c r="B56" s="15">
        <v>13900205</v>
      </c>
      <c r="C56" s="15">
        <f>92114-37969</f>
        <v>54145</v>
      </c>
      <c r="D56" s="15">
        <f t="shared" si="1"/>
        <v>12770356</v>
      </c>
      <c r="E56" s="15">
        <v>1075704</v>
      </c>
      <c r="F56" s="16">
        <f t="shared" si="7"/>
        <v>1110</v>
      </c>
      <c r="G56" s="15">
        <v>138</v>
      </c>
    </row>
    <row r="57" spans="1:7" ht="12">
      <c r="A57" s="22">
        <f t="shared" si="0"/>
        <v>43134</v>
      </c>
      <c r="B57" s="15">
        <v>12252004</v>
      </c>
      <c r="C57" s="15">
        <v>55645</v>
      </c>
      <c r="D57" s="15">
        <f t="shared" si="1"/>
        <v>11319051</v>
      </c>
      <c r="E57" s="15">
        <v>877308</v>
      </c>
      <c r="F57" s="16">
        <f t="shared" si="7"/>
        <v>1110</v>
      </c>
      <c r="G57" s="15">
        <v>113</v>
      </c>
    </row>
    <row r="58" spans="1:7" ht="12">
      <c r="A58" s="22">
        <f t="shared" si="0"/>
        <v>43141</v>
      </c>
      <c r="B58" s="15">
        <v>7506165</v>
      </c>
      <c r="C58" s="15">
        <v>42452</v>
      </c>
      <c r="D58" s="15">
        <f t="shared" si="1"/>
        <v>6946203</v>
      </c>
      <c r="E58" s="15">
        <v>517510</v>
      </c>
      <c r="F58" s="16">
        <f t="shared" si="7"/>
        <v>1110</v>
      </c>
      <c r="G58" s="15">
        <v>67</v>
      </c>
    </row>
    <row r="59" spans="1:7" ht="12">
      <c r="A59" s="22">
        <f t="shared" si="0"/>
        <v>43148</v>
      </c>
      <c r="B59" s="15">
        <v>8948603</v>
      </c>
      <c r="C59" s="15">
        <v>55234</v>
      </c>
      <c r="D59" s="15">
        <f t="shared" si="1"/>
        <v>8323224</v>
      </c>
      <c r="E59" s="15">
        <v>570145</v>
      </c>
      <c r="F59" s="16">
        <f t="shared" si="7"/>
        <v>1110</v>
      </c>
      <c r="G59" s="15">
        <v>73</v>
      </c>
    </row>
    <row r="60" spans="1:7" ht="12">
      <c r="A60" s="22">
        <f t="shared" si="0"/>
        <v>43155</v>
      </c>
      <c r="B60" s="15">
        <v>9245569</v>
      </c>
      <c r="C60" s="15">
        <f>54153-54141</f>
        <v>12</v>
      </c>
      <c r="D60" s="15">
        <f t="shared" si="1"/>
        <v>8447367</v>
      </c>
      <c r="E60" s="15">
        <v>798190</v>
      </c>
      <c r="F60" s="16">
        <f t="shared" si="7"/>
        <v>1110</v>
      </c>
      <c r="G60" s="15">
        <v>103</v>
      </c>
    </row>
    <row r="61" spans="1:7" ht="12">
      <c r="A61" s="22">
        <f t="shared" si="0"/>
        <v>43162</v>
      </c>
      <c r="B61" s="15">
        <v>8513489</v>
      </c>
      <c r="C61" s="15">
        <v>63481</v>
      </c>
      <c r="D61" s="15">
        <f t="shared" si="1"/>
        <v>7823478</v>
      </c>
      <c r="E61" s="15">
        <v>626530</v>
      </c>
      <c r="F61" s="16">
        <f>7770/7</f>
        <v>1110</v>
      </c>
      <c r="G61" s="15">
        <v>81</v>
      </c>
    </row>
    <row r="62" spans="1:7" ht="12">
      <c r="A62" s="22">
        <f t="shared" si="0"/>
        <v>43169</v>
      </c>
      <c r="B62" s="15">
        <v>9416575</v>
      </c>
      <c r="C62" s="15">
        <v>56057</v>
      </c>
      <c r="D62" s="15">
        <f t="shared" si="1"/>
        <v>8758516</v>
      </c>
      <c r="E62" s="15">
        <v>602002</v>
      </c>
      <c r="F62" s="16">
        <f>7770/7</f>
        <v>1110</v>
      </c>
      <c r="G62" s="15">
        <v>77</v>
      </c>
    </row>
    <row r="63" spans="1:7" ht="12">
      <c r="A63" s="22">
        <f t="shared" si="0"/>
        <v>43176</v>
      </c>
      <c r="B63" s="15">
        <v>9822032.840000002</v>
      </c>
      <c r="C63" s="15">
        <v>58260.7</v>
      </c>
      <c r="D63" s="15">
        <f t="shared" si="1"/>
        <v>9135795.970000003</v>
      </c>
      <c r="E63" s="15">
        <v>627976.1699999999</v>
      </c>
      <c r="F63" s="16">
        <f>7770/7</f>
        <v>1110</v>
      </c>
      <c r="G63" s="15">
        <v>80.82061389961389</v>
      </c>
    </row>
    <row r="64" spans="1:7" ht="12">
      <c r="A64" s="22">
        <f t="shared" si="0"/>
        <v>43183</v>
      </c>
      <c r="B64" s="15">
        <v>9695671</v>
      </c>
      <c r="C64" s="15">
        <f>58841-33920</f>
        <v>24921</v>
      </c>
      <c r="D64" s="15">
        <f t="shared" si="1"/>
        <v>8963494</v>
      </c>
      <c r="E64" s="15">
        <v>707256</v>
      </c>
      <c r="F64" s="16">
        <f>7770/7</f>
        <v>1110</v>
      </c>
      <c r="G64" s="15">
        <v>91</v>
      </c>
    </row>
    <row r="65" ht="12">
      <c r="A65" s="22"/>
    </row>
    <row r="66" spans="1:7" ht="12.75" thickBot="1">
      <c r="A66" s="3" t="s">
        <v>8</v>
      </c>
      <c r="B66" s="17">
        <f>SUM(B13:B65)</f>
        <v>839321803.84</v>
      </c>
      <c r="C66" s="17">
        <f>SUM(C13:C65)</f>
        <v>9602267.91</v>
      </c>
      <c r="D66" s="17">
        <f>SUM(D13:D65)</f>
        <v>774653185.7600001</v>
      </c>
      <c r="E66" s="17">
        <f>SUM(E13:E65)</f>
        <v>55066350.17</v>
      </c>
      <c r="F66" s="24">
        <f>SUM(F13:F65)/COUNT(F13:F65)</f>
        <v>1110</v>
      </c>
      <c r="G66" s="17">
        <f>+E66/SUM(F13:F65)/7</f>
        <v>136.28935296010295</v>
      </c>
    </row>
    <row r="67" spans="1:5" s="21" customFormat="1" ht="12.7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monticellocasinoand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1">
      <pane ySplit="11" topLeftCell="A53" activePane="bottomLeft" state="frozen"/>
      <selection pane="topLeft" activeCell="A1" sqref="A1"/>
      <selection pane="bottomLeft" activeCell="F61" sqref="F61"/>
    </sheetView>
  </sheetViews>
  <sheetFormatPr defaultColWidth="9.140625" defaultRowHeight="12.75"/>
  <cols>
    <col min="1" max="1" width="15.140625" style="3" customWidth="1"/>
    <col min="2" max="5" width="15.140625" style="15" customWidth="1"/>
    <col min="6" max="6" width="15.140625" style="16" customWidth="1"/>
    <col min="7" max="7" width="15.140625" style="15" customWidth="1"/>
  </cols>
  <sheetData>
    <row r="1" spans="1:11" ht="18">
      <c r="A1" s="35" t="s">
        <v>16</v>
      </c>
      <c r="B1" s="35"/>
      <c r="C1" s="35"/>
      <c r="D1" s="35"/>
      <c r="E1" s="35"/>
      <c r="F1" s="35"/>
      <c r="G1" s="35"/>
      <c r="H1" s="26"/>
      <c r="I1" s="26"/>
      <c r="J1" s="26"/>
      <c r="K1" s="26"/>
    </row>
    <row r="2" spans="1:11" ht="15">
      <c r="A2" s="36" t="s">
        <v>17</v>
      </c>
      <c r="B2" s="36"/>
      <c r="C2" s="36"/>
      <c r="D2" s="36"/>
      <c r="E2" s="36"/>
      <c r="F2" s="36"/>
      <c r="G2" s="36"/>
      <c r="H2" s="27"/>
      <c r="I2" s="27"/>
      <c r="J2" s="27"/>
      <c r="K2" s="27"/>
    </row>
    <row r="3" spans="1:11" s="1" customFormat="1" ht="15">
      <c r="A3" s="36" t="s">
        <v>18</v>
      </c>
      <c r="B3" s="36"/>
      <c r="C3" s="36"/>
      <c r="D3" s="36"/>
      <c r="E3" s="36"/>
      <c r="F3" s="36"/>
      <c r="G3" s="36"/>
      <c r="H3" s="27"/>
      <c r="I3" s="27"/>
      <c r="J3" s="27"/>
      <c r="K3" s="27"/>
    </row>
    <row r="4" spans="1:11" s="1" customFormat="1" ht="15">
      <c r="A4" s="37" t="s">
        <v>27</v>
      </c>
      <c r="B4" s="37"/>
      <c r="C4" s="37"/>
      <c r="D4" s="37"/>
      <c r="E4" s="37"/>
      <c r="F4" s="37"/>
      <c r="G4" s="37"/>
      <c r="H4" s="28"/>
      <c r="I4" s="28"/>
      <c r="J4" s="28"/>
      <c r="K4" s="28"/>
    </row>
    <row r="5" spans="1:11" s="1" customFormat="1" ht="13.5">
      <c r="A5" s="38" t="s">
        <v>20</v>
      </c>
      <c r="B5" s="38"/>
      <c r="C5" s="38"/>
      <c r="D5" s="38"/>
      <c r="E5" s="38"/>
      <c r="F5" s="38"/>
      <c r="G5" s="38"/>
      <c r="H5" s="29"/>
      <c r="I5" s="29"/>
      <c r="J5" s="29"/>
      <c r="K5" s="29"/>
    </row>
    <row r="6" spans="1:11" s="1" customFormat="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1" customFormat="1" ht="12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31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1.25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1.25">
      <c r="A11" s="13" t="s">
        <v>11</v>
      </c>
      <c r="B11" s="8" t="s">
        <v>3</v>
      </c>
      <c r="C11" s="8" t="s">
        <v>26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">
      <c r="A13" s="22">
        <v>42462</v>
      </c>
      <c r="B13" s="15">
        <v>17506991</v>
      </c>
      <c r="C13" s="15">
        <v>205937.61</v>
      </c>
      <c r="D13" s="15">
        <f aca="true" t="shared" si="0" ref="D13:D64">+B13-C13-E13</f>
        <v>16184823.39</v>
      </c>
      <c r="E13" s="15">
        <v>1116230</v>
      </c>
      <c r="F13" s="16">
        <v>1110</v>
      </c>
      <c r="G13" s="15">
        <v>144</v>
      </c>
    </row>
    <row r="14" spans="1:7" ht="12">
      <c r="A14" s="22">
        <f aca="true" t="shared" si="1" ref="A14:A64">+A13+7</f>
        <v>42469</v>
      </c>
      <c r="B14" s="15">
        <v>17712142</v>
      </c>
      <c r="C14" s="15">
        <v>195431.05</v>
      </c>
      <c r="D14" s="15">
        <f t="shared" si="0"/>
        <v>16372641.95</v>
      </c>
      <c r="E14" s="15">
        <v>1144069</v>
      </c>
      <c r="F14" s="16">
        <v>1110</v>
      </c>
      <c r="G14" s="15">
        <v>147</v>
      </c>
    </row>
    <row r="15" spans="1:7" ht="12">
      <c r="A15" s="22">
        <f t="shared" si="1"/>
        <v>42476</v>
      </c>
      <c r="B15" s="15">
        <v>16989307</v>
      </c>
      <c r="C15" s="15">
        <f>181409.62-39215</f>
        <v>142194.62</v>
      </c>
      <c r="D15" s="15">
        <f t="shared" si="0"/>
        <v>15701809.379999999</v>
      </c>
      <c r="E15" s="15">
        <v>1145303</v>
      </c>
      <c r="F15" s="16">
        <v>1110</v>
      </c>
      <c r="G15" s="15">
        <v>147</v>
      </c>
    </row>
    <row r="16" spans="1:7" ht="12">
      <c r="A16" s="22">
        <f t="shared" si="1"/>
        <v>42483</v>
      </c>
      <c r="B16" s="15">
        <v>17826600</v>
      </c>
      <c r="C16" s="15">
        <f>225296.5-1000000</f>
        <v>-774703.5</v>
      </c>
      <c r="D16" s="15">
        <f t="shared" si="0"/>
        <v>16442690.5</v>
      </c>
      <c r="E16" s="15">
        <v>2158613</v>
      </c>
      <c r="F16" s="16">
        <v>1110</v>
      </c>
      <c r="G16" s="15">
        <v>278</v>
      </c>
    </row>
    <row r="17" spans="1:7" ht="12">
      <c r="A17" s="22">
        <f t="shared" si="1"/>
        <v>42490</v>
      </c>
      <c r="B17" s="15">
        <v>18981611</v>
      </c>
      <c r="C17" s="15">
        <f>196425.85-913973</f>
        <v>-717547.15</v>
      </c>
      <c r="D17" s="15">
        <f t="shared" si="0"/>
        <v>17600713.15</v>
      </c>
      <c r="E17" s="15">
        <v>2098445</v>
      </c>
      <c r="F17" s="16">
        <v>1110</v>
      </c>
      <c r="G17" s="15">
        <v>270</v>
      </c>
    </row>
    <row r="18" spans="1:7" ht="12">
      <c r="A18" s="22">
        <f t="shared" si="1"/>
        <v>42497</v>
      </c>
      <c r="B18" s="15">
        <v>18288995</v>
      </c>
      <c r="C18" s="15">
        <v>241897.99</v>
      </c>
      <c r="D18" s="15">
        <f t="shared" si="0"/>
        <v>16834063.01</v>
      </c>
      <c r="E18" s="15">
        <v>1213034</v>
      </c>
      <c r="F18" s="16">
        <f>7770/7</f>
        <v>1110</v>
      </c>
      <c r="G18" s="15">
        <v>156</v>
      </c>
    </row>
    <row r="19" spans="1:7" ht="12">
      <c r="A19" s="22">
        <f t="shared" si="1"/>
        <v>42504</v>
      </c>
      <c r="B19" s="15">
        <v>18457657</v>
      </c>
      <c r="C19" s="15">
        <v>257885.94</v>
      </c>
      <c r="D19" s="15">
        <f t="shared" si="0"/>
        <v>16996898.06</v>
      </c>
      <c r="E19" s="15">
        <v>1202873</v>
      </c>
      <c r="F19" s="16">
        <v>1110</v>
      </c>
      <c r="G19" s="15">
        <v>155</v>
      </c>
    </row>
    <row r="20" spans="1:7" ht="12">
      <c r="A20" s="22">
        <f t="shared" si="1"/>
        <v>42511</v>
      </c>
      <c r="B20" s="15">
        <v>18354439</v>
      </c>
      <c r="C20" s="15">
        <f>235281.56-38160</f>
        <v>197121.56</v>
      </c>
      <c r="D20" s="15">
        <f t="shared" si="0"/>
        <v>16946017.44</v>
      </c>
      <c r="E20" s="15">
        <v>1211300</v>
      </c>
      <c r="F20" s="16">
        <v>1110</v>
      </c>
      <c r="G20" s="15">
        <v>156</v>
      </c>
    </row>
    <row r="21" spans="1:7" ht="12">
      <c r="A21" s="22">
        <f t="shared" si="1"/>
        <v>42518</v>
      </c>
      <c r="B21" s="15">
        <v>19034817</v>
      </c>
      <c r="C21" s="15">
        <v>235117.35</v>
      </c>
      <c r="D21" s="15">
        <f t="shared" si="0"/>
        <v>17503794.65</v>
      </c>
      <c r="E21" s="15">
        <v>1295905</v>
      </c>
      <c r="F21" s="16">
        <v>1110</v>
      </c>
      <c r="G21" s="15">
        <v>167</v>
      </c>
    </row>
    <row r="22" spans="1:7" ht="12">
      <c r="A22" s="22">
        <f t="shared" si="1"/>
        <v>42525</v>
      </c>
      <c r="B22" s="15">
        <v>20156813</v>
      </c>
      <c r="C22" s="15">
        <v>287712.8</v>
      </c>
      <c r="D22" s="15">
        <f t="shared" si="0"/>
        <v>18668753.2</v>
      </c>
      <c r="E22" s="15">
        <v>1200347</v>
      </c>
      <c r="F22" s="16">
        <v>1110</v>
      </c>
      <c r="G22" s="15">
        <v>154</v>
      </c>
    </row>
    <row r="23" spans="1:7" ht="12">
      <c r="A23" s="22">
        <f t="shared" si="1"/>
        <v>42532</v>
      </c>
      <c r="B23" s="15">
        <v>18396717</v>
      </c>
      <c r="C23" s="15">
        <v>240013.39</v>
      </c>
      <c r="D23" s="15">
        <f t="shared" si="0"/>
        <v>17000558.61</v>
      </c>
      <c r="E23" s="15">
        <v>1156145</v>
      </c>
      <c r="F23" s="16">
        <v>1110</v>
      </c>
      <c r="G23" s="15">
        <v>149</v>
      </c>
    </row>
    <row r="24" spans="1:7" ht="12">
      <c r="A24" s="22">
        <f t="shared" si="1"/>
        <v>42539</v>
      </c>
      <c r="B24" s="15">
        <v>17650874</v>
      </c>
      <c r="C24" s="15">
        <v>234937.22</v>
      </c>
      <c r="D24" s="15">
        <f t="shared" si="0"/>
        <v>16390496.780000001</v>
      </c>
      <c r="E24" s="15">
        <v>1025440</v>
      </c>
      <c r="F24" s="16">
        <v>1110</v>
      </c>
      <c r="G24" s="15">
        <v>132</v>
      </c>
    </row>
    <row r="25" spans="1:7" ht="12">
      <c r="A25" s="22">
        <f t="shared" si="1"/>
        <v>42546</v>
      </c>
      <c r="B25" s="15">
        <v>18050308</v>
      </c>
      <c r="C25" s="15">
        <v>260194.89</v>
      </c>
      <c r="D25" s="15">
        <f t="shared" si="0"/>
        <v>16618026.11</v>
      </c>
      <c r="E25" s="15">
        <v>1172087</v>
      </c>
      <c r="F25" s="16">
        <v>1110</v>
      </c>
      <c r="G25" s="15">
        <v>151</v>
      </c>
    </row>
    <row r="26" spans="1:7" ht="12">
      <c r="A26" s="22">
        <f t="shared" si="1"/>
        <v>42553</v>
      </c>
      <c r="B26" s="15">
        <v>18711892</v>
      </c>
      <c r="C26" s="15">
        <v>239665.95</v>
      </c>
      <c r="D26" s="15">
        <f t="shared" si="0"/>
        <v>17263613.05</v>
      </c>
      <c r="E26" s="15">
        <v>1208613</v>
      </c>
      <c r="F26" s="16">
        <v>1110</v>
      </c>
      <c r="G26" s="15">
        <v>156</v>
      </c>
    </row>
    <row r="27" spans="1:7" ht="12">
      <c r="A27" s="22">
        <f t="shared" si="1"/>
        <v>42560</v>
      </c>
      <c r="B27" s="15">
        <v>23122985</v>
      </c>
      <c r="C27" s="15">
        <f>299926.64-42517</f>
        <v>257409.64</v>
      </c>
      <c r="D27" s="15">
        <f t="shared" si="0"/>
        <v>21427316.36</v>
      </c>
      <c r="E27" s="15">
        <v>1438259</v>
      </c>
      <c r="F27" s="16">
        <v>1110</v>
      </c>
      <c r="G27" s="15">
        <v>185</v>
      </c>
    </row>
    <row r="28" spans="1:7" ht="12">
      <c r="A28" s="22">
        <f t="shared" si="1"/>
        <v>42567</v>
      </c>
      <c r="B28" s="15">
        <v>18073450</v>
      </c>
      <c r="C28" s="15">
        <v>235305.55</v>
      </c>
      <c r="D28" s="15">
        <f t="shared" si="0"/>
        <v>16672815.45</v>
      </c>
      <c r="E28" s="15">
        <v>1165329</v>
      </c>
      <c r="F28" s="16">
        <v>1110</v>
      </c>
      <c r="G28" s="15">
        <v>150</v>
      </c>
    </row>
    <row r="29" spans="1:7" ht="12">
      <c r="A29" s="22">
        <f t="shared" si="1"/>
        <v>42574</v>
      </c>
      <c r="B29" s="15">
        <v>20251756</v>
      </c>
      <c r="C29" s="15">
        <v>223351.81</v>
      </c>
      <c r="D29" s="15">
        <f t="shared" si="0"/>
        <v>18729904.19</v>
      </c>
      <c r="E29" s="15">
        <v>1298500</v>
      </c>
      <c r="F29" s="16">
        <v>1110</v>
      </c>
      <c r="G29" s="15">
        <v>167</v>
      </c>
    </row>
    <row r="30" spans="1:7" ht="12">
      <c r="A30" s="22">
        <f t="shared" si="1"/>
        <v>42581</v>
      </c>
      <c r="B30" s="15">
        <v>19620150</v>
      </c>
      <c r="C30" s="15">
        <f>256155.65-48125</f>
        <v>208030.65</v>
      </c>
      <c r="D30" s="15">
        <f t="shared" si="0"/>
        <v>18195610.35</v>
      </c>
      <c r="E30" s="15">
        <v>1216509</v>
      </c>
      <c r="F30" s="16">
        <v>1110</v>
      </c>
      <c r="G30" s="15">
        <v>157</v>
      </c>
    </row>
    <row r="31" spans="1:7" ht="12">
      <c r="A31" s="22">
        <f t="shared" si="1"/>
        <v>42588</v>
      </c>
      <c r="B31" s="15">
        <v>19925922</v>
      </c>
      <c r="C31" s="15">
        <v>231922.15</v>
      </c>
      <c r="D31" s="15">
        <f t="shared" si="0"/>
        <v>18392577.85</v>
      </c>
      <c r="E31" s="15">
        <v>1301422</v>
      </c>
      <c r="F31" s="16">
        <v>1110</v>
      </c>
      <c r="G31" s="15">
        <v>167</v>
      </c>
    </row>
    <row r="32" spans="1:7" ht="12">
      <c r="A32" s="22">
        <f t="shared" si="1"/>
        <v>42595</v>
      </c>
      <c r="B32" s="15">
        <v>19785239</v>
      </c>
      <c r="C32" s="15">
        <v>219321.7</v>
      </c>
      <c r="D32" s="15">
        <f t="shared" si="0"/>
        <v>18258481.3</v>
      </c>
      <c r="E32" s="15">
        <v>1307436</v>
      </c>
      <c r="F32" s="16">
        <v>1110</v>
      </c>
      <c r="G32" s="15">
        <v>168</v>
      </c>
    </row>
    <row r="33" spans="1:7" ht="12">
      <c r="A33" s="22">
        <f t="shared" si="1"/>
        <v>42602</v>
      </c>
      <c r="B33" s="15">
        <v>20738469</v>
      </c>
      <c r="C33" s="15">
        <v>236175.6</v>
      </c>
      <c r="D33" s="15">
        <f t="shared" si="0"/>
        <v>19220781.4</v>
      </c>
      <c r="E33" s="15">
        <v>1281512</v>
      </c>
      <c r="F33" s="16">
        <v>1110</v>
      </c>
      <c r="G33" s="15">
        <v>165</v>
      </c>
    </row>
    <row r="34" spans="1:7" ht="12">
      <c r="A34" s="22">
        <f t="shared" si="1"/>
        <v>42609</v>
      </c>
      <c r="B34" s="15">
        <v>19547847</v>
      </c>
      <c r="C34" s="15">
        <v>221100.07</v>
      </c>
      <c r="D34" s="15">
        <f t="shared" si="0"/>
        <v>18087617.93</v>
      </c>
      <c r="E34" s="15">
        <v>1239129</v>
      </c>
      <c r="F34" s="16">
        <v>1110</v>
      </c>
      <c r="G34" s="15">
        <v>159</v>
      </c>
    </row>
    <row r="35" spans="1:7" ht="12">
      <c r="A35" s="22">
        <f t="shared" si="1"/>
        <v>42616</v>
      </c>
      <c r="B35" s="15">
        <v>18504485</v>
      </c>
      <c r="C35" s="15">
        <v>204095.77</v>
      </c>
      <c r="D35" s="15">
        <f t="shared" si="0"/>
        <v>17125811.23</v>
      </c>
      <c r="E35" s="15">
        <v>1174578</v>
      </c>
      <c r="F35" s="16">
        <f>7770/7</f>
        <v>1110</v>
      </c>
      <c r="G35" s="15">
        <v>151</v>
      </c>
    </row>
    <row r="36" spans="1:7" ht="12">
      <c r="A36" s="22">
        <f t="shared" si="1"/>
        <v>42623</v>
      </c>
      <c r="B36" s="15">
        <v>20423835</v>
      </c>
      <c r="C36" s="15">
        <v>228490.6</v>
      </c>
      <c r="D36" s="15">
        <f t="shared" si="0"/>
        <v>18784355.4</v>
      </c>
      <c r="E36" s="15">
        <v>1410989</v>
      </c>
      <c r="F36" s="16">
        <v>1110</v>
      </c>
      <c r="G36" s="15">
        <v>182</v>
      </c>
    </row>
    <row r="37" spans="1:7" ht="12">
      <c r="A37" s="22">
        <f t="shared" si="1"/>
        <v>42630</v>
      </c>
      <c r="B37" s="15">
        <v>18086470</v>
      </c>
      <c r="C37" s="15">
        <f>234649.65-46442</f>
        <v>188207.65</v>
      </c>
      <c r="D37" s="15">
        <f t="shared" si="0"/>
        <v>16705391.350000001</v>
      </c>
      <c r="E37" s="15">
        <v>1192871</v>
      </c>
      <c r="F37" s="16">
        <v>1110</v>
      </c>
      <c r="G37" s="15">
        <v>154</v>
      </c>
    </row>
    <row r="38" spans="1:7" ht="12">
      <c r="A38" s="22">
        <f t="shared" si="1"/>
        <v>42637</v>
      </c>
      <c r="B38" s="15">
        <v>17652314</v>
      </c>
      <c r="C38" s="15">
        <v>238668.3</v>
      </c>
      <c r="D38" s="15">
        <f t="shared" si="0"/>
        <v>16318932.7</v>
      </c>
      <c r="E38" s="15">
        <v>1094713</v>
      </c>
      <c r="F38" s="16">
        <v>1110</v>
      </c>
      <c r="G38" s="15">
        <v>141</v>
      </c>
    </row>
    <row r="39" spans="1:7" ht="12">
      <c r="A39" s="22">
        <f t="shared" si="1"/>
        <v>42644</v>
      </c>
      <c r="B39" s="15">
        <v>16814155</v>
      </c>
      <c r="C39" s="15">
        <v>219915.75</v>
      </c>
      <c r="D39" s="15">
        <f t="shared" si="0"/>
        <v>15548085.25</v>
      </c>
      <c r="E39" s="15">
        <v>1046154</v>
      </c>
      <c r="F39" s="16">
        <v>1110</v>
      </c>
      <c r="G39" s="15">
        <v>135</v>
      </c>
    </row>
    <row r="40" spans="1:7" ht="12">
      <c r="A40" s="22">
        <f t="shared" si="1"/>
        <v>42651</v>
      </c>
      <c r="B40" s="15">
        <v>17216779</v>
      </c>
      <c r="C40" s="15">
        <v>230245.15</v>
      </c>
      <c r="D40" s="15">
        <f t="shared" si="0"/>
        <v>15859514.850000001</v>
      </c>
      <c r="E40" s="15">
        <v>1127019</v>
      </c>
      <c r="F40" s="16">
        <v>1110</v>
      </c>
      <c r="G40" s="15">
        <v>145</v>
      </c>
    </row>
    <row r="41" spans="1:7" ht="12">
      <c r="A41" s="22">
        <f t="shared" si="1"/>
        <v>42658</v>
      </c>
      <c r="B41" s="15">
        <v>17201203</v>
      </c>
      <c r="C41" s="15">
        <v>191109</v>
      </c>
      <c r="D41" s="15">
        <f t="shared" si="0"/>
        <v>15880172</v>
      </c>
      <c r="E41" s="15">
        <v>1129922</v>
      </c>
      <c r="F41" s="16">
        <v>1110</v>
      </c>
      <c r="G41" s="15">
        <v>145</v>
      </c>
    </row>
    <row r="42" spans="1:7" ht="12">
      <c r="A42" s="22">
        <f t="shared" si="1"/>
        <v>42665</v>
      </c>
      <c r="B42" s="15">
        <v>15926132</v>
      </c>
      <c r="C42" s="15">
        <f>187315.2-45905</f>
        <v>141410.2</v>
      </c>
      <c r="D42" s="15">
        <f t="shared" si="0"/>
        <v>14714152.8</v>
      </c>
      <c r="E42" s="15">
        <v>1070569</v>
      </c>
      <c r="F42" s="16">
        <v>1110</v>
      </c>
      <c r="G42" s="15">
        <v>138</v>
      </c>
    </row>
    <row r="43" spans="1:7" ht="12">
      <c r="A43" s="22">
        <f t="shared" si="1"/>
        <v>42672</v>
      </c>
      <c r="B43" s="15">
        <v>16668361</v>
      </c>
      <c r="C43" s="15">
        <v>224694</v>
      </c>
      <c r="D43" s="15">
        <f t="shared" si="0"/>
        <v>15385884</v>
      </c>
      <c r="E43" s="15">
        <v>1057783</v>
      </c>
      <c r="F43" s="16">
        <v>1110</v>
      </c>
      <c r="G43" s="15">
        <v>136</v>
      </c>
    </row>
    <row r="44" spans="1:7" ht="12">
      <c r="A44" s="22">
        <f t="shared" si="1"/>
        <v>42679</v>
      </c>
      <c r="B44" s="15">
        <v>16997522</v>
      </c>
      <c r="C44" s="15">
        <v>195197</v>
      </c>
      <c r="D44" s="15">
        <f t="shared" si="0"/>
        <v>15680053</v>
      </c>
      <c r="E44" s="15">
        <v>1122272</v>
      </c>
      <c r="F44" s="16">
        <v>1110</v>
      </c>
      <c r="G44" s="15">
        <v>144</v>
      </c>
    </row>
    <row r="45" spans="1:7" ht="12">
      <c r="A45" s="22">
        <f t="shared" si="1"/>
        <v>42686</v>
      </c>
      <c r="B45" s="15">
        <v>16986990</v>
      </c>
      <c r="C45" s="15">
        <v>219021.22</v>
      </c>
      <c r="D45" s="15">
        <f t="shared" si="0"/>
        <v>15666758.78</v>
      </c>
      <c r="E45" s="15">
        <v>1101210</v>
      </c>
      <c r="F45" s="16">
        <f aca="true" t="shared" si="2" ref="F45:F50">7770/7</f>
        <v>1110</v>
      </c>
      <c r="G45" s="15">
        <v>142</v>
      </c>
    </row>
    <row r="46" spans="1:7" ht="12">
      <c r="A46" s="22">
        <f t="shared" si="1"/>
        <v>42693</v>
      </c>
      <c r="B46" s="15">
        <v>15745198</v>
      </c>
      <c r="C46" s="15">
        <v>183136.3</v>
      </c>
      <c r="D46" s="15">
        <f t="shared" si="0"/>
        <v>14533563.7</v>
      </c>
      <c r="E46" s="15">
        <v>1028498</v>
      </c>
      <c r="F46" s="16">
        <f t="shared" si="2"/>
        <v>1110</v>
      </c>
      <c r="G46" s="15">
        <v>132</v>
      </c>
    </row>
    <row r="47" spans="1:7" ht="12">
      <c r="A47" s="22">
        <f t="shared" si="1"/>
        <v>42700</v>
      </c>
      <c r="B47" s="15">
        <v>14935891</v>
      </c>
      <c r="C47" s="15">
        <f>194158.5-44594</f>
        <v>149564.5</v>
      </c>
      <c r="D47" s="15">
        <f t="shared" si="0"/>
        <v>13721978.5</v>
      </c>
      <c r="E47" s="15">
        <v>1064348</v>
      </c>
      <c r="F47" s="16">
        <f t="shared" si="2"/>
        <v>1110</v>
      </c>
      <c r="G47" s="15">
        <v>137</v>
      </c>
    </row>
    <row r="48" spans="1:7" ht="12">
      <c r="A48" s="22">
        <f t="shared" si="1"/>
        <v>42707</v>
      </c>
      <c r="B48" s="15">
        <v>14802996</v>
      </c>
      <c r="C48" s="15">
        <v>187588.63</v>
      </c>
      <c r="D48" s="15">
        <f t="shared" si="0"/>
        <v>13605112.37</v>
      </c>
      <c r="E48" s="15">
        <v>1010295</v>
      </c>
      <c r="F48" s="16">
        <f t="shared" si="2"/>
        <v>1110</v>
      </c>
      <c r="G48" s="15">
        <v>130</v>
      </c>
    </row>
    <row r="49" spans="1:7" ht="12">
      <c r="A49" s="22">
        <f t="shared" si="1"/>
        <v>42714</v>
      </c>
      <c r="B49" s="15">
        <v>13728169</v>
      </c>
      <c r="C49" s="15">
        <v>162681.47</v>
      </c>
      <c r="D49" s="15">
        <f t="shared" si="0"/>
        <v>12699411.53</v>
      </c>
      <c r="E49" s="15">
        <v>866076</v>
      </c>
      <c r="F49" s="16">
        <f t="shared" si="2"/>
        <v>1110</v>
      </c>
      <c r="G49" s="15">
        <v>111</v>
      </c>
    </row>
    <row r="50" spans="1:7" ht="12">
      <c r="A50" s="22">
        <f t="shared" si="1"/>
        <v>42721</v>
      </c>
      <c r="B50" s="15">
        <v>9052318</v>
      </c>
      <c r="C50" s="15">
        <v>93052.25</v>
      </c>
      <c r="D50" s="15">
        <f t="shared" si="0"/>
        <v>8383448.75</v>
      </c>
      <c r="E50" s="15">
        <v>575817</v>
      </c>
      <c r="F50" s="16">
        <f t="shared" si="2"/>
        <v>1110</v>
      </c>
      <c r="G50" s="15">
        <v>74</v>
      </c>
    </row>
    <row r="51" spans="1:7" ht="12">
      <c r="A51" s="22">
        <f t="shared" si="1"/>
        <v>42728</v>
      </c>
      <c r="B51" s="15">
        <v>10926905</v>
      </c>
      <c r="C51" s="15">
        <f>135305.05-43040</f>
        <v>92265.04999999999</v>
      </c>
      <c r="D51" s="15">
        <f t="shared" si="0"/>
        <v>10052754.95</v>
      </c>
      <c r="E51" s="15">
        <v>781885</v>
      </c>
      <c r="F51" s="16">
        <v>1110</v>
      </c>
      <c r="G51" s="15">
        <v>101</v>
      </c>
    </row>
    <row r="52" spans="1:7" ht="12">
      <c r="A52" s="22">
        <f t="shared" si="1"/>
        <v>42735</v>
      </c>
      <c r="B52" s="15">
        <v>15918654</v>
      </c>
      <c r="C52" s="15">
        <v>135788.78</v>
      </c>
      <c r="D52" s="15">
        <f t="shared" si="0"/>
        <v>14662004.22</v>
      </c>
      <c r="E52" s="15">
        <v>1120861</v>
      </c>
      <c r="F52" s="16">
        <v>1110</v>
      </c>
      <c r="G52" s="15">
        <v>144</v>
      </c>
    </row>
    <row r="53" spans="1:7" ht="12">
      <c r="A53" s="22">
        <f t="shared" si="1"/>
        <v>42742</v>
      </c>
      <c r="B53" s="15">
        <v>15525215</v>
      </c>
      <c r="C53" s="15">
        <v>206022.5</v>
      </c>
      <c r="D53" s="15">
        <f t="shared" si="0"/>
        <v>14360603.5</v>
      </c>
      <c r="E53" s="15">
        <v>958589</v>
      </c>
      <c r="F53" s="16">
        <f aca="true" t="shared" si="3" ref="F53:F58">7770/7</f>
        <v>1110</v>
      </c>
      <c r="G53" s="15">
        <v>123</v>
      </c>
    </row>
    <row r="54" spans="1:7" ht="12">
      <c r="A54" s="22">
        <f t="shared" si="1"/>
        <v>42749</v>
      </c>
      <c r="B54" s="15">
        <v>15074698</v>
      </c>
      <c r="C54" s="15">
        <v>198702.65</v>
      </c>
      <c r="D54" s="15">
        <f t="shared" si="0"/>
        <v>13959577.35</v>
      </c>
      <c r="E54" s="15">
        <v>916418</v>
      </c>
      <c r="F54" s="16">
        <f t="shared" si="3"/>
        <v>1110</v>
      </c>
      <c r="G54" s="15">
        <v>118</v>
      </c>
    </row>
    <row r="55" spans="1:7" ht="12">
      <c r="A55" s="22">
        <f t="shared" si="1"/>
        <v>42756</v>
      </c>
      <c r="B55" s="15">
        <v>16453725</v>
      </c>
      <c r="C55" s="15">
        <v>205969.2</v>
      </c>
      <c r="D55" s="15">
        <f t="shared" si="0"/>
        <v>15164945.8</v>
      </c>
      <c r="E55" s="15">
        <v>1082810</v>
      </c>
      <c r="F55" s="16">
        <f t="shared" si="3"/>
        <v>1110</v>
      </c>
      <c r="G55" s="15">
        <v>139</v>
      </c>
    </row>
    <row r="56" spans="1:7" ht="12">
      <c r="A56" s="22">
        <f t="shared" si="1"/>
        <v>42763</v>
      </c>
      <c r="B56" s="15">
        <v>13721418</v>
      </c>
      <c r="C56" s="15">
        <v>165694.9</v>
      </c>
      <c r="D56" s="15">
        <f t="shared" si="0"/>
        <v>12643024.1</v>
      </c>
      <c r="E56" s="15">
        <v>912699</v>
      </c>
      <c r="F56" s="16">
        <f t="shared" si="3"/>
        <v>1110</v>
      </c>
      <c r="G56" s="15">
        <v>117</v>
      </c>
    </row>
    <row r="57" spans="1:7" ht="12">
      <c r="A57" s="22">
        <f t="shared" si="1"/>
        <v>42770</v>
      </c>
      <c r="B57" s="15">
        <v>15626085</v>
      </c>
      <c r="C57" s="15">
        <f>195233.75-35642</f>
        <v>159591.75</v>
      </c>
      <c r="D57" s="15">
        <f t="shared" si="0"/>
        <v>14342855.25</v>
      </c>
      <c r="E57" s="15">
        <v>1123638</v>
      </c>
      <c r="F57" s="16">
        <f t="shared" si="3"/>
        <v>1110</v>
      </c>
      <c r="G57" s="15">
        <v>145</v>
      </c>
    </row>
    <row r="58" spans="1:7" ht="12">
      <c r="A58" s="22">
        <f t="shared" si="1"/>
        <v>42777</v>
      </c>
      <c r="B58" s="15">
        <v>13452318</v>
      </c>
      <c r="C58" s="15">
        <v>155511.17</v>
      </c>
      <c r="D58" s="15">
        <f t="shared" si="0"/>
        <v>12424922.83</v>
      </c>
      <c r="E58" s="15">
        <v>871884</v>
      </c>
      <c r="F58" s="16">
        <f t="shared" si="3"/>
        <v>1110</v>
      </c>
      <c r="G58" s="15">
        <v>112</v>
      </c>
    </row>
    <row r="59" spans="1:7" ht="12">
      <c r="A59" s="22">
        <f t="shared" si="1"/>
        <v>42784</v>
      </c>
      <c r="B59" s="15">
        <v>14515482</v>
      </c>
      <c r="C59" s="15">
        <v>176469.35</v>
      </c>
      <c r="D59" s="15">
        <f t="shared" si="0"/>
        <v>13410996.65</v>
      </c>
      <c r="E59" s="15">
        <v>928016</v>
      </c>
      <c r="F59" s="16">
        <f>7770/7</f>
        <v>1110</v>
      </c>
      <c r="G59" s="15">
        <v>119</v>
      </c>
    </row>
    <row r="60" spans="1:7" ht="12">
      <c r="A60" s="22">
        <f t="shared" si="1"/>
        <v>42791</v>
      </c>
      <c r="B60" s="15">
        <v>18017786</v>
      </c>
      <c r="C60" s="15">
        <f>206045.4-47782</f>
        <v>158263.4</v>
      </c>
      <c r="D60" s="15">
        <f t="shared" si="0"/>
        <v>16564797.600000001</v>
      </c>
      <c r="E60" s="15">
        <v>1294725</v>
      </c>
      <c r="F60" s="16">
        <f>7770/7</f>
        <v>1110</v>
      </c>
      <c r="G60" s="15">
        <v>167</v>
      </c>
    </row>
    <row r="61" spans="1:7" ht="12">
      <c r="A61" s="22">
        <f t="shared" si="1"/>
        <v>42798</v>
      </c>
      <c r="B61" s="15">
        <v>16505218</v>
      </c>
      <c r="C61" s="15">
        <v>191079.54</v>
      </c>
      <c r="D61" s="15">
        <f t="shared" si="0"/>
        <v>15200034.46</v>
      </c>
      <c r="E61" s="15">
        <v>1114104</v>
      </c>
      <c r="F61" s="16">
        <f>7768/7</f>
        <v>1109.7142857142858</v>
      </c>
      <c r="G61" s="15">
        <v>143</v>
      </c>
    </row>
    <row r="62" spans="1:7" ht="12">
      <c r="A62" s="22">
        <f t="shared" si="1"/>
        <v>42805</v>
      </c>
      <c r="B62" s="15">
        <v>16123426</v>
      </c>
      <c r="C62" s="15">
        <v>221585.3</v>
      </c>
      <c r="D62" s="15">
        <f t="shared" si="0"/>
        <v>14910198.7</v>
      </c>
      <c r="E62" s="15">
        <v>991642</v>
      </c>
      <c r="F62" s="16">
        <f>7770/7</f>
        <v>1110</v>
      </c>
      <c r="G62" s="15">
        <v>128</v>
      </c>
    </row>
    <row r="63" spans="1:7" ht="12">
      <c r="A63" s="22">
        <f t="shared" si="1"/>
        <v>42812</v>
      </c>
      <c r="B63" s="15">
        <v>13350916</v>
      </c>
      <c r="C63" s="15">
        <f>192291.47-42810</f>
        <v>149481.47</v>
      </c>
      <c r="D63" s="15">
        <f t="shared" si="0"/>
        <v>12312519.53</v>
      </c>
      <c r="E63" s="15">
        <v>888915</v>
      </c>
      <c r="F63" s="16">
        <v>1110</v>
      </c>
      <c r="G63" s="15">
        <v>114</v>
      </c>
    </row>
    <row r="64" spans="1:7" ht="12">
      <c r="A64" s="22">
        <f t="shared" si="1"/>
        <v>42819</v>
      </c>
      <c r="B64" s="15">
        <v>18923093</v>
      </c>
      <c r="C64" s="15">
        <v>269574.35</v>
      </c>
      <c r="D64" s="15">
        <f t="shared" si="0"/>
        <v>17548929.65</v>
      </c>
      <c r="E64" s="15">
        <v>1104589</v>
      </c>
      <c r="F64" s="16">
        <f>7770/7</f>
        <v>1110</v>
      </c>
      <c r="G64" s="15">
        <v>142</v>
      </c>
    </row>
    <row r="65" ht="12">
      <c r="A65" s="22"/>
    </row>
    <row r="66" ht="12">
      <c r="A66" s="22"/>
    </row>
    <row r="67" spans="1:7" ht="12.75" thickBot="1">
      <c r="A67" s="3" t="s">
        <v>8</v>
      </c>
      <c r="B67" s="17">
        <f>SUM(B13:B65)</f>
        <v>892062738</v>
      </c>
      <c r="C67" s="17">
        <f>SUM(C13:C65)</f>
        <v>8621554.09</v>
      </c>
      <c r="D67" s="17">
        <f>SUM(D13:D65)</f>
        <v>823680794.9100002</v>
      </c>
      <c r="E67" s="17">
        <f>SUM(E13:E65)</f>
        <v>59760389</v>
      </c>
      <c r="F67" s="24">
        <f>SUM(F13:F66)/COUNT(F13:F66)</f>
        <v>1109.9945054945053</v>
      </c>
      <c r="G67" s="17">
        <f>+E67/SUM(F13:F66)/7</f>
        <v>147.90784282666482</v>
      </c>
    </row>
    <row r="68" spans="1:5" s="21" customFormat="1" ht="12.75" thickTop="1">
      <c r="A68" s="19"/>
      <c r="B68" s="20"/>
      <c r="C68" s="20"/>
      <c r="D68" s="20"/>
      <c r="E68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monticellocasinoandraceway.com"/>
  </hyperlinks>
  <printOptions horizontalCentered="1"/>
  <pageMargins left="0" right="0" top="0.5" bottom="0.5" header="0.5" footer="0.5"/>
  <pageSetup fitToHeight="1" fitToWidth="1" horizontalDpi="600" verticalDpi="600" orientation="portrait" scale="84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1">
      <pane ySplit="11" topLeftCell="A57" activePane="bottomLeft" state="frozen"/>
      <selection pane="topLeft" activeCell="A1" sqref="A1"/>
      <selection pane="bottomLeft" activeCell="G66" sqref="G66"/>
    </sheetView>
  </sheetViews>
  <sheetFormatPr defaultColWidth="9.140625" defaultRowHeight="12.75"/>
  <cols>
    <col min="1" max="1" width="15.140625" style="3" customWidth="1"/>
    <col min="2" max="5" width="15.140625" style="15" customWidth="1"/>
    <col min="6" max="6" width="15.140625" style="16" customWidth="1"/>
    <col min="7" max="7" width="15.140625" style="15" customWidth="1"/>
  </cols>
  <sheetData>
    <row r="1" spans="1:11" ht="18">
      <c r="A1" s="35" t="s">
        <v>16</v>
      </c>
      <c r="B1" s="35"/>
      <c r="C1" s="35"/>
      <c r="D1" s="35"/>
      <c r="E1" s="35"/>
      <c r="F1" s="35"/>
      <c r="G1" s="35"/>
      <c r="H1" s="26"/>
      <c r="I1" s="26"/>
      <c r="J1" s="26"/>
      <c r="K1" s="26"/>
    </row>
    <row r="2" spans="1:11" ht="15">
      <c r="A2" s="36" t="s">
        <v>17</v>
      </c>
      <c r="B2" s="36"/>
      <c r="C2" s="36"/>
      <c r="D2" s="36"/>
      <c r="E2" s="36"/>
      <c r="F2" s="36"/>
      <c r="G2" s="36"/>
      <c r="H2" s="27"/>
      <c r="I2" s="27"/>
      <c r="J2" s="27"/>
      <c r="K2" s="27"/>
    </row>
    <row r="3" spans="1:11" s="1" customFormat="1" ht="15">
      <c r="A3" s="36" t="s">
        <v>18</v>
      </c>
      <c r="B3" s="36"/>
      <c r="C3" s="36"/>
      <c r="D3" s="36"/>
      <c r="E3" s="36"/>
      <c r="F3" s="36"/>
      <c r="G3" s="36"/>
      <c r="H3" s="27"/>
      <c r="I3" s="27"/>
      <c r="J3" s="27"/>
      <c r="K3" s="27"/>
    </row>
    <row r="4" spans="1:11" s="1" customFormat="1" ht="15">
      <c r="A4" s="37" t="s">
        <v>27</v>
      </c>
      <c r="B4" s="37"/>
      <c r="C4" s="37"/>
      <c r="D4" s="37"/>
      <c r="E4" s="37"/>
      <c r="F4" s="37"/>
      <c r="G4" s="37"/>
      <c r="H4" s="28"/>
      <c r="I4" s="28"/>
      <c r="J4" s="28"/>
      <c r="K4" s="28"/>
    </row>
    <row r="5" spans="1:11" s="1" customFormat="1" ht="13.5">
      <c r="A5" s="38" t="s">
        <v>20</v>
      </c>
      <c r="B5" s="38"/>
      <c r="C5" s="38"/>
      <c r="D5" s="38"/>
      <c r="E5" s="38"/>
      <c r="F5" s="38"/>
      <c r="G5" s="38"/>
      <c r="H5" s="29"/>
      <c r="I5" s="29"/>
      <c r="J5" s="29"/>
      <c r="K5" s="29"/>
    </row>
    <row r="6" spans="1:11" s="1" customFormat="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1" customFormat="1" ht="12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30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1.25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1.25">
      <c r="A11" s="13" t="s">
        <v>11</v>
      </c>
      <c r="B11" s="8" t="s">
        <v>3</v>
      </c>
      <c r="C11" s="8" t="s">
        <v>26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">
      <c r="A13" s="22">
        <v>42091</v>
      </c>
      <c r="B13" s="15">
        <v>18285042</v>
      </c>
      <c r="C13" s="15">
        <v>307283.03</v>
      </c>
      <c r="D13" s="15">
        <f aca="true" t="shared" si="0" ref="D13:D65">+B13-C13-E13</f>
        <v>16828714.97</v>
      </c>
      <c r="E13" s="15">
        <v>1149044</v>
      </c>
      <c r="F13" s="16">
        <v>1110</v>
      </c>
      <c r="G13" s="15">
        <v>148</v>
      </c>
    </row>
    <row r="14" spans="1:7" ht="12">
      <c r="A14" s="22">
        <f aca="true" t="shared" si="1" ref="A14:A65">+A13+7</f>
        <v>42098</v>
      </c>
      <c r="B14" s="15">
        <v>18092025</v>
      </c>
      <c r="C14" s="15">
        <v>223118.7</v>
      </c>
      <c r="D14" s="15">
        <f t="shared" si="0"/>
        <v>16701688.3</v>
      </c>
      <c r="E14" s="15">
        <v>1167218</v>
      </c>
      <c r="F14" s="16">
        <v>1110</v>
      </c>
      <c r="G14" s="15">
        <v>150</v>
      </c>
    </row>
    <row r="15" spans="1:7" ht="12">
      <c r="A15" s="22">
        <f t="shared" si="1"/>
        <v>42105</v>
      </c>
      <c r="B15" s="15">
        <v>17091086</v>
      </c>
      <c r="C15" s="15">
        <v>190608.86</v>
      </c>
      <c r="D15" s="15">
        <f t="shared" si="0"/>
        <v>15756438.14</v>
      </c>
      <c r="E15" s="15">
        <v>1144039</v>
      </c>
      <c r="F15" s="16">
        <v>1110</v>
      </c>
      <c r="G15" s="15">
        <v>147</v>
      </c>
    </row>
    <row r="16" spans="1:7" ht="12">
      <c r="A16" s="22">
        <f t="shared" si="1"/>
        <v>42112</v>
      </c>
      <c r="B16" s="15">
        <v>17969289</v>
      </c>
      <c r="C16" s="15">
        <f>293557.07-40410</f>
        <v>253147.07</v>
      </c>
      <c r="D16" s="15">
        <f t="shared" si="0"/>
        <v>16467762.93</v>
      </c>
      <c r="E16" s="15">
        <v>1248379</v>
      </c>
      <c r="F16" s="16">
        <v>1110</v>
      </c>
      <c r="G16" s="15">
        <v>161</v>
      </c>
    </row>
    <row r="17" spans="1:7" ht="12">
      <c r="A17" s="22">
        <f t="shared" si="1"/>
        <v>42119</v>
      </c>
      <c r="B17" s="15">
        <v>16802317</v>
      </c>
      <c r="C17" s="15">
        <v>222395.25</v>
      </c>
      <c r="D17" s="15">
        <f t="shared" si="0"/>
        <v>15440251.75</v>
      </c>
      <c r="E17" s="15">
        <v>1139670</v>
      </c>
      <c r="F17" s="16">
        <v>1110</v>
      </c>
      <c r="G17" s="15">
        <v>147</v>
      </c>
    </row>
    <row r="18" spans="1:7" ht="12">
      <c r="A18" s="22">
        <f t="shared" si="1"/>
        <v>42126</v>
      </c>
      <c r="B18" s="15">
        <v>17824204</v>
      </c>
      <c r="C18" s="15">
        <v>292292.6</v>
      </c>
      <c r="D18" s="15">
        <f t="shared" si="0"/>
        <v>16336929.399999999</v>
      </c>
      <c r="E18" s="15">
        <v>1194982</v>
      </c>
      <c r="F18" s="16">
        <v>1110</v>
      </c>
      <c r="G18" s="15">
        <v>154</v>
      </c>
    </row>
    <row r="19" spans="1:7" ht="12">
      <c r="A19" s="22">
        <f t="shared" si="1"/>
        <v>42133</v>
      </c>
      <c r="B19" s="15">
        <v>16447092</v>
      </c>
      <c r="C19" s="15">
        <v>200077.6</v>
      </c>
      <c r="D19" s="15">
        <f t="shared" si="0"/>
        <v>15082817.4</v>
      </c>
      <c r="E19" s="15">
        <v>1164197</v>
      </c>
      <c r="F19" s="16">
        <v>1110</v>
      </c>
      <c r="G19" s="15">
        <v>150</v>
      </c>
    </row>
    <row r="20" spans="1:7" ht="12">
      <c r="A20" s="22">
        <f t="shared" si="1"/>
        <v>42140</v>
      </c>
      <c r="B20" s="15">
        <v>16898876</v>
      </c>
      <c r="C20" s="15">
        <f>249370-42426</f>
        <v>206944</v>
      </c>
      <c r="D20" s="15">
        <f t="shared" si="0"/>
        <v>15508261</v>
      </c>
      <c r="E20" s="15">
        <v>1183671</v>
      </c>
      <c r="F20" s="16">
        <v>1110</v>
      </c>
      <c r="G20" s="15">
        <v>152</v>
      </c>
    </row>
    <row r="21" spans="1:7" ht="12">
      <c r="A21" s="22">
        <f t="shared" si="1"/>
        <v>42147</v>
      </c>
      <c r="B21" s="15">
        <v>18700187</v>
      </c>
      <c r="C21" s="15">
        <v>222447</v>
      </c>
      <c r="D21" s="15">
        <f t="shared" si="0"/>
        <v>17233737</v>
      </c>
      <c r="E21" s="15">
        <v>1244003</v>
      </c>
      <c r="F21" s="16">
        <v>1110</v>
      </c>
      <c r="G21" s="15">
        <v>160</v>
      </c>
    </row>
    <row r="22" spans="1:7" ht="12">
      <c r="A22" s="22">
        <f t="shared" si="1"/>
        <v>42154</v>
      </c>
      <c r="B22" s="15">
        <v>19087661</v>
      </c>
      <c r="C22" s="15">
        <v>180294.4</v>
      </c>
      <c r="D22" s="15">
        <f t="shared" si="0"/>
        <v>17547788.6</v>
      </c>
      <c r="E22" s="15">
        <v>1359578</v>
      </c>
      <c r="F22" s="16">
        <v>1110</v>
      </c>
      <c r="G22" s="15">
        <v>175</v>
      </c>
    </row>
    <row r="23" spans="1:7" ht="12">
      <c r="A23" s="22">
        <f t="shared" si="1"/>
        <v>42161</v>
      </c>
      <c r="B23" s="15">
        <v>19852936</v>
      </c>
      <c r="C23" s="15">
        <v>261401.35</v>
      </c>
      <c r="D23" s="15">
        <f t="shared" si="0"/>
        <v>18340936.65</v>
      </c>
      <c r="E23" s="15">
        <v>1250598</v>
      </c>
      <c r="F23" s="16">
        <v>1110</v>
      </c>
      <c r="G23" s="15">
        <v>161</v>
      </c>
    </row>
    <row r="24" spans="1:7" ht="12">
      <c r="A24" s="22">
        <f t="shared" si="1"/>
        <v>42168</v>
      </c>
      <c r="B24" s="15">
        <v>18161023</v>
      </c>
      <c r="C24" s="15">
        <f>218141-47072</f>
        <v>171069</v>
      </c>
      <c r="D24" s="15">
        <f t="shared" si="0"/>
        <v>16706859</v>
      </c>
      <c r="E24" s="15">
        <v>1283095</v>
      </c>
      <c r="F24" s="16">
        <v>1110</v>
      </c>
      <c r="G24" s="15">
        <v>165</v>
      </c>
    </row>
    <row r="25" spans="1:7" ht="12">
      <c r="A25" s="22">
        <f t="shared" si="1"/>
        <v>42175</v>
      </c>
      <c r="B25" s="15">
        <v>17641671</v>
      </c>
      <c r="C25" s="15">
        <v>215625.45</v>
      </c>
      <c r="D25" s="15">
        <f t="shared" si="0"/>
        <v>16257824.55</v>
      </c>
      <c r="E25" s="15">
        <v>1168221</v>
      </c>
      <c r="F25" s="16">
        <v>1110</v>
      </c>
      <c r="G25" s="15">
        <v>150</v>
      </c>
    </row>
    <row r="26" spans="1:7" ht="12">
      <c r="A26" s="22">
        <f t="shared" si="1"/>
        <v>42182</v>
      </c>
      <c r="B26" s="15">
        <v>18806057</v>
      </c>
      <c r="C26" s="15">
        <v>266411.15</v>
      </c>
      <c r="D26" s="15">
        <f t="shared" si="0"/>
        <v>17493137.85</v>
      </c>
      <c r="E26" s="15">
        <v>1046508</v>
      </c>
      <c r="F26" s="16">
        <v>1110</v>
      </c>
      <c r="G26" s="15">
        <v>135</v>
      </c>
    </row>
    <row r="27" spans="1:7" ht="12">
      <c r="A27" s="22">
        <f t="shared" si="1"/>
        <v>42189</v>
      </c>
      <c r="B27" s="15">
        <v>21531828</v>
      </c>
      <c r="C27" s="15">
        <v>231966.56</v>
      </c>
      <c r="D27" s="15">
        <f t="shared" si="0"/>
        <v>19879776.44</v>
      </c>
      <c r="E27" s="15">
        <v>1420085</v>
      </c>
      <c r="F27" s="16">
        <v>1110</v>
      </c>
      <c r="G27" s="15">
        <v>183</v>
      </c>
    </row>
    <row r="28" spans="1:7" ht="12">
      <c r="A28" s="22">
        <f t="shared" si="1"/>
        <v>42196</v>
      </c>
      <c r="B28" s="15">
        <v>19110955</v>
      </c>
      <c r="C28" s="15">
        <v>224384</v>
      </c>
      <c r="D28" s="15">
        <f t="shared" si="0"/>
        <v>17603918</v>
      </c>
      <c r="E28" s="15">
        <v>1282653</v>
      </c>
      <c r="F28" s="16">
        <v>1110</v>
      </c>
      <c r="G28" s="15">
        <v>165</v>
      </c>
    </row>
    <row r="29" spans="1:7" ht="12">
      <c r="A29" s="22">
        <f t="shared" si="1"/>
        <v>42203</v>
      </c>
      <c r="B29" s="15">
        <v>19357763</v>
      </c>
      <c r="C29" s="15">
        <f>257264.41-45790</f>
        <v>211474.41</v>
      </c>
      <c r="D29" s="15">
        <f t="shared" si="0"/>
        <v>17852267.59</v>
      </c>
      <c r="E29" s="15">
        <v>1294021</v>
      </c>
      <c r="F29" s="16">
        <v>1110</v>
      </c>
      <c r="G29" s="15">
        <v>167</v>
      </c>
    </row>
    <row r="30" spans="1:7" ht="12">
      <c r="A30" s="22">
        <f t="shared" si="1"/>
        <v>42210</v>
      </c>
      <c r="B30" s="15">
        <v>19539612</v>
      </c>
      <c r="C30" s="15">
        <v>213229.23</v>
      </c>
      <c r="D30" s="15">
        <f t="shared" si="0"/>
        <v>17944773.77</v>
      </c>
      <c r="E30" s="15">
        <v>1381609</v>
      </c>
      <c r="F30" s="16">
        <v>1110</v>
      </c>
      <c r="G30" s="15">
        <v>178</v>
      </c>
    </row>
    <row r="31" spans="1:7" ht="12">
      <c r="A31" s="22">
        <f t="shared" si="1"/>
        <v>42217</v>
      </c>
      <c r="B31" s="15">
        <v>19386098</v>
      </c>
      <c r="C31" s="15">
        <v>251092.06</v>
      </c>
      <c r="D31" s="15">
        <f t="shared" si="0"/>
        <v>17813875.94</v>
      </c>
      <c r="E31" s="15">
        <v>1321130</v>
      </c>
      <c r="F31" s="16">
        <v>1110</v>
      </c>
      <c r="G31" s="15">
        <v>170</v>
      </c>
    </row>
    <row r="32" spans="1:7" ht="12">
      <c r="A32" s="22">
        <f t="shared" si="1"/>
        <v>42224</v>
      </c>
      <c r="B32" s="15">
        <v>19000640</v>
      </c>
      <c r="C32" s="15">
        <v>217770.15</v>
      </c>
      <c r="D32" s="15">
        <f t="shared" si="0"/>
        <v>17388077.85</v>
      </c>
      <c r="E32" s="15">
        <v>1394792</v>
      </c>
      <c r="F32" s="16">
        <v>1110</v>
      </c>
      <c r="G32" s="15">
        <v>180</v>
      </c>
    </row>
    <row r="33" spans="1:7" ht="12">
      <c r="A33" s="22">
        <f t="shared" si="1"/>
        <v>42231</v>
      </c>
      <c r="B33" s="15">
        <v>18885870</v>
      </c>
      <c r="C33" s="15">
        <f>231834.17-45627</f>
        <v>186207.17</v>
      </c>
      <c r="D33" s="15">
        <f t="shared" si="0"/>
        <v>17377442.83</v>
      </c>
      <c r="E33" s="15">
        <v>1322220</v>
      </c>
      <c r="F33" s="16">
        <v>1110</v>
      </c>
      <c r="G33" s="15">
        <v>170</v>
      </c>
    </row>
    <row r="34" spans="1:7" ht="12">
      <c r="A34" s="22">
        <f t="shared" si="1"/>
        <v>42238</v>
      </c>
      <c r="B34" s="15">
        <v>18545989</v>
      </c>
      <c r="C34" s="15">
        <v>238221.32</v>
      </c>
      <c r="D34" s="15">
        <f t="shared" si="0"/>
        <v>17085669.68</v>
      </c>
      <c r="E34" s="15">
        <v>1222098</v>
      </c>
      <c r="F34" s="16">
        <v>1110</v>
      </c>
      <c r="G34" s="15">
        <v>157</v>
      </c>
    </row>
    <row r="35" spans="1:7" ht="12">
      <c r="A35" s="22">
        <f t="shared" si="1"/>
        <v>42245</v>
      </c>
      <c r="B35" s="15">
        <v>18700631</v>
      </c>
      <c r="C35" s="15">
        <v>262152.35</v>
      </c>
      <c r="D35" s="15">
        <f t="shared" si="0"/>
        <v>17141702.65</v>
      </c>
      <c r="E35" s="15">
        <v>1296776</v>
      </c>
      <c r="F35" s="16">
        <v>1110</v>
      </c>
      <c r="G35" s="15">
        <v>167</v>
      </c>
    </row>
    <row r="36" spans="1:7" ht="12">
      <c r="A36" s="22">
        <f t="shared" si="1"/>
        <v>42252</v>
      </c>
      <c r="B36" s="15">
        <v>18739281</v>
      </c>
      <c r="C36" s="15">
        <v>198421.4</v>
      </c>
      <c r="D36" s="15">
        <f t="shared" si="0"/>
        <v>17264078.6</v>
      </c>
      <c r="E36" s="15">
        <v>1276781</v>
      </c>
      <c r="F36" s="16">
        <v>1108.5714285714287</v>
      </c>
      <c r="G36" s="15">
        <v>165</v>
      </c>
    </row>
    <row r="37" spans="1:7" ht="12">
      <c r="A37" s="22">
        <f t="shared" si="1"/>
        <v>42259</v>
      </c>
      <c r="B37" s="15">
        <v>19228316</v>
      </c>
      <c r="C37" s="15">
        <v>224420.5</v>
      </c>
      <c r="D37" s="15">
        <f t="shared" si="0"/>
        <v>17605206.5</v>
      </c>
      <c r="E37" s="15">
        <v>1398689</v>
      </c>
      <c r="F37" s="16">
        <v>1110</v>
      </c>
      <c r="G37" s="15">
        <v>180</v>
      </c>
    </row>
    <row r="38" spans="1:7" ht="12">
      <c r="A38" s="22">
        <f t="shared" si="1"/>
        <v>42266</v>
      </c>
      <c r="B38" s="15">
        <v>17523262</v>
      </c>
      <c r="C38" s="15">
        <v>242529.45</v>
      </c>
      <c r="D38" s="15">
        <f t="shared" si="0"/>
        <v>16179453.55</v>
      </c>
      <c r="E38" s="15">
        <v>1101279</v>
      </c>
      <c r="F38" s="16">
        <v>1110</v>
      </c>
      <c r="G38" s="15">
        <v>142</v>
      </c>
    </row>
    <row r="39" spans="1:7" ht="12">
      <c r="A39" s="22">
        <f t="shared" si="1"/>
        <v>42273</v>
      </c>
      <c r="B39" s="15">
        <v>17409229</v>
      </c>
      <c r="C39" s="15">
        <f>230073.97-43695</f>
        <v>186378.97</v>
      </c>
      <c r="D39" s="15">
        <f t="shared" si="0"/>
        <v>16030455.030000001</v>
      </c>
      <c r="E39" s="15">
        <v>1192395</v>
      </c>
      <c r="F39" s="16">
        <v>1110</v>
      </c>
      <c r="G39" s="15">
        <v>153</v>
      </c>
    </row>
    <row r="40" spans="1:7" ht="12">
      <c r="A40" s="22">
        <f t="shared" si="1"/>
        <v>42280</v>
      </c>
      <c r="B40" s="15">
        <v>17311771</v>
      </c>
      <c r="C40" s="15">
        <v>188687.02</v>
      </c>
      <c r="D40" s="15">
        <f t="shared" si="0"/>
        <v>15972774.98</v>
      </c>
      <c r="E40" s="15">
        <v>1150309</v>
      </c>
      <c r="F40" s="16">
        <v>1110</v>
      </c>
      <c r="G40" s="15">
        <v>148</v>
      </c>
    </row>
    <row r="41" spans="1:7" ht="12">
      <c r="A41" s="22">
        <f t="shared" si="1"/>
        <v>42287</v>
      </c>
      <c r="B41" s="15">
        <v>17617547</v>
      </c>
      <c r="C41" s="15">
        <f>233733.94-9600</f>
        <v>224133.94</v>
      </c>
      <c r="D41" s="15">
        <f t="shared" si="0"/>
        <v>16170725.059999999</v>
      </c>
      <c r="E41" s="15">
        <v>1222688</v>
      </c>
      <c r="F41" s="16">
        <v>1110</v>
      </c>
      <c r="G41" s="15">
        <v>157</v>
      </c>
    </row>
    <row r="42" spans="1:7" ht="12">
      <c r="A42" s="22">
        <f t="shared" si="1"/>
        <v>42294</v>
      </c>
      <c r="B42" s="15">
        <v>16852864</v>
      </c>
      <c r="C42" s="15">
        <f>209471.35-39197</f>
        <v>170274.35</v>
      </c>
      <c r="D42" s="15">
        <f t="shared" si="0"/>
        <v>15540386.65</v>
      </c>
      <c r="E42" s="15">
        <v>1142203</v>
      </c>
      <c r="F42" s="16">
        <v>1110</v>
      </c>
      <c r="G42" s="15">
        <v>147</v>
      </c>
    </row>
    <row r="43" spans="1:7" ht="12">
      <c r="A43" s="22">
        <f t="shared" si="1"/>
        <v>42301</v>
      </c>
      <c r="B43" s="15">
        <v>16158648</v>
      </c>
      <c r="C43" s="15">
        <v>224190</v>
      </c>
      <c r="D43" s="15">
        <f t="shared" si="0"/>
        <v>14962537</v>
      </c>
      <c r="E43" s="15">
        <v>971921</v>
      </c>
      <c r="F43" s="16">
        <v>1110</v>
      </c>
      <c r="G43" s="15">
        <v>125</v>
      </c>
    </row>
    <row r="44" spans="1:7" ht="12">
      <c r="A44" s="22">
        <f t="shared" si="1"/>
        <v>42308</v>
      </c>
      <c r="B44" s="15">
        <v>16972338</v>
      </c>
      <c r="C44" s="15">
        <v>248771</v>
      </c>
      <c r="D44" s="15">
        <f t="shared" si="0"/>
        <v>15611891</v>
      </c>
      <c r="E44" s="15">
        <v>1111676</v>
      </c>
      <c r="F44" s="16">
        <v>1108.5714285714287</v>
      </c>
      <c r="G44" s="15">
        <v>143</v>
      </c>
    </row>
    <row r="45" spans="1:7" ht="12">
      <c r="A45" s="22">
        <f t="shared" si="1"/>
        <v>42315</v>
      </c>
      <c r="B45" s="15">
        <v>16347088</v>
      </c>
      <c r="C45" s="15">
        <v>207527</v>
      </c>
      <c r="D45" s="15">
        <f t="shared" si="0"/>
        <v>15049090</v>
      </c>
      <c r="E45" s="15">
        <v>1090471</v>
      </c>
      <c r="F45" s="16">
        <v>1110</v>
      </c>
      <c r="G45" s="15">
        <v>140</v>
      </c>
    </row>
    <row r="46" spans="1:7" ht="12">
      <c r="A46" s="22">
        <f t="shared" si="1"/>
        <v>42322</v>
      </c>
      <c r="B46" s="15">
        <v>16443769</v>
      </c>
      <c r="C46" s="15">
        <f>211882-42090</f>
        <v>169792</v>
      </c>
      <c r="D46" s="15">
        <f t="shared" si="0"/>
        <v>15123050</v>
      </c>
      <c r="E46" s="15">
        <v>1150927</v>
      </c>
      <c r="F46" s="16">
        <v>1110</v>
      </c>
      <c r="G46" s="15">
        <v>148</v>
      </c>
    </row>
    <row r="47" spans="1:7" ht="12">
      <c r="A47" s="22">
        <f t="shared" si="1"/>
        <v>42329</v>
      </c>
      <c r="B47" s="15">
        <v>16246634</v>
      </c>
      <c r="C47" s="15">
        <v>224717</v>
      </c>
      <c r="D47" s="15">
        <f t="shared" si="0"/>
        <v>14972379</v>
      </c>
      <c r="E47" s="15">
        <v>1049538</v>
      </c>
      <c r="F47" s="16">
        <v>1110</v>
      </c>
      <c r="G47" s="15">
        <v>135</v>
      </c>
    </row>
    <row r="48" spans="1:7" ht="12">
      <c r="A48" s="22">
        <f t="shared" si="1"/>
        <v>42336</v>
      </c>
      <c r="B48" s="15">
        <v>17083869</v>
      </c>
      <c r="C48" s="15">
        <v>227810.85</v>
      </c>
      <c r="D48" s="15">
        <f t="shared" si="0"/>
        <v>15708492.149999999</v>
      </c>
      <c r="E48" s="15">
        <v>1147566</v>
      </c>
      <c r="F48" s="16">
        <v>1110</v>
      </c>
      <c r="G48" s="15">
        <v>148</v>
      </c>
    </row>
    <row r="49" spans="1:7" ht="12">
      <c r="A49" s="22">
        <f t="shared" si="1"/>
        <v>42343</v>
      </c>
      <c r="B49" s="15">
        <v>17093332</v>
      </c>
      <c r="C49" s="15">
        <v>202112.3</v>
      </c>
      <c r="D49" s="15">
        <f t="shared" si="0"/>
        <v>15875724.7</v>
      </c>
      <c r="E49" s="15">
        <v>1015495</v>
      </c>
      <c r="F49" s="16">
        <v>1110</v>
      </c>
      <c r="G49" s="15">
        <v>131</v>
      </c>
    </row>
    <row r="50" spans="1:7" ht="12">
      <c r="A50" s="22">
        <f t="shared" si="1"/>
        <v>42350</v>
      </c>
      <c r="B50" s="15">
        <v>15580284</v>
      </c>
      <c r="C50" s="15">
        <v>203024.1</v>
      </c>
      <c r="D50" s="15">
        <f t="shared" si="0"/>
        <v>14429257.9</v>
      </c>
      <c r="E50" s="15">
        <v>948002</v>
      </c>
      <c r="F50" s="16">
        <f>7770/7</f>
        <v>1110</v>
      </c>
      <c r="G50" s="15">
        <v>122</v>
      </c>
    </row>
    <row r="51" spans="1:7" ht="12">
      <c r="A51" s="22">
        <f t="shared" si="1"/>
        <v>42357</v>
      </c>
      <c r="B51" s="15">
        <v>14888337</v>
      </c>
      <c r="C51" s="15">
        <v>180448.4</v>
      </c>
      <c r="D51" s="15">
        <f t="shared" si="0"/>
        <v>13726695.6</v>
      </c>
      <c r="E51" s="15">
        <v>981193</v>
      </c>
      <c r="F51" s="16">
        <v>1110</v>
      </c>
      <c r="G51" s="15">
        <v>126</v>
      </c>
    </row>
    <row r="52" spans="1:7" ht="12">
      <c r="A52" s="22">
        <f t="shared" si="1"/>
        <v>42364</v>
      </c>
      <c r="B52" s="15">
        <v>14737170</v>
      </c>
      <c r="C52" s="15">
        <v>212698.49</v>
      </c>
      <c r="D52" s="15">
        <f t="shared" si="0"/>
        <v>13540238.51</v>
      </c>
      <c r="E52" s="15">
        <v>984233</v>
      </c>
      <c r="F52" s="16">
        <f>7770/7</f>
        <v>1110</v>
      </c>
      <c r="G52" s="15">
        <v>127</v>
      </c>
    </row>
    <row r="53" spans="1:7" ht="12">
      <c r="A53" s="22">
        <f t="shared" si="1"/>
        <v>42371</v>
      </c>
      <c r="B53" s="15">
        <v>20121486</v>
      </c>
      <c r="C53" s="15">
        <v>221819.3</v>
      </c>
      <c r="D53" s="15">
        <f t="shared" si="0"/>
        <v>18554455.7</v>
      </c>
      <c r="E53" s="15">
        <v>1345211</v>
      </c>
      <c r="F53" s="16">
        <v>1110</v>
      </c>
      <c r="G53" s="15">
        <v>173</v>
      </c>
    </row>
    <row r="54" spans="1:7" ht="12">
      <c r="A54" s="22">
        <f t="shared" si="1"/>
        <v>42378</v>
      </c>
      <c r="B54" s="15">
        <v>14983780</v>
      </c>
      <c r="C54" s="15">
        <v>211923.4</v>
      </c>
      <c r="D54" s="15">
        <f t="shared" si="0"/>
        <v>13769529.6</v>
      </c>
      <c r="E54" s="15">
        <v>1002327</v>
      </c>
      <c r="F54" s="16">
        <v>1110</v>
      </c>
      <c r="G54" s="15">
        <v>129</v>
      </c>
    </row>
    <row r="55" spans="1:7" ht="12">
      <c r="A55" s="22">
        <f t="shared" si="1"/>
        <v>42385</v>
      </c>
      <c r="B55" s="15">
        <v>13630349</v>
      </c>
      <c r="C55" s="15">
        <f>166226.3-40124</f>
        <v>126102.29999999999</v>
      </c>
      <c r="D55" s="15">
        <f t="shared" si="0"/>
        <v>12542198.7</v>
      </c>
      <c r="E55" s="15">
        <v>962048</v>
      </c>
      <c r="F55" s="16">
        <v>1110</v>
      </c>
      <c r="G55" s="15">
        <v>124</v>
      </c>
    </row>
    <row r="56" spans="1:7" ht="12">
      <c r="A56" s="22">
        <f t="shared" si="1"/>
        <v>42392</v>
      </c>
      <c r="B56" s="15">
        <v>11919957</v>
      </c>
      <c r="C56" s="15">
        <v>163570.93</v>
      </c>
      <c r="D56" s="15">
        <f t="shared" si="0"/>
        <v>11019726.07</v>
      </c>
      <c r="E56" s="15">
        <v>736660</v>
      </c>
      <c r="F56" s="16">
        <v>1110</v>
      </c>
      <c r="G56" s="15">
        <v>95</v>
      </c>
    </row>
    <row r="57" spans="1:7" ht="12">
      <c r="A57" s="22">
        <f t="shared" si="1"/>
        <v>42399</v>
      </c>
      <c r="B57" s="15">
        <v>17244062</v>
      </c>
      <c r="C57" s="15">
        <v>221339.18</v>
      </c>
      <c r="D57" s="15">
        <f t="shared" si="0"/>
        <v>15891509.82</v>
      </c>
      <c r="E57" s="15">
        <v>1131213</v>
      </c>
      <c r="F57" s="16">
        <v>1110</v>
      </c>
      <c r="G57" s="15">
        <v>146</v>
      </c>
    </row>
    <row r="58" spans="1:7" ht="12">
      <c r="A58" s="22">
        <f t="shared" si="1"/>
        <v>42406</v>
      </c>
      <c r="B58" s="15">
        <v>16484940</v>
      </c>
      <c r="C58" s="15">
        <v>210825.4</v>
      </c>
      <c r="D58" s="15">
        <f t="shared" si="0"/>
        <v>15214983.6</v>
      </c>
      <c r="E58" s="15">
        <v>1059131</v>
      </c>
      <c r="F58" s="16">
        <v>1110</v>
      </c>
      <c r="G58" s="15">
        <v>136</v>
      </c>
    </row>
    <row r="59" spans="1:7" ht="12">
      <c r="A59" s="22">
        <f t="shared" si="1"/>
        <v>42413</v>
      </c>
      <c r="B59" s="15">
        <v>15101630</v>
      </c>
      <c r="C59" s="15">
        <f>202564.71-40398</f>
        <v>162166.71</v>
      </c>
      <c r="D59" s="15">
        <f t="shared" si="0"/>
        <v>13929415.29</v>
      </c>
      <c r="E59" s="15">
        <v>1010048</v>
      </c>
      <c r="F59" s="16">
        <v>1110</v>
      </c>
      <c r="G59" s="15">
        <v>130</v>
      </c>
    </row>
    <row r="60" spans="1:7" ht="12">
      <c r="A60" s="22">
        <f t="shared" si="1"/>
        <v>42420</v>
      </c>
      <c r="B60" s="15">
        <v>17803085</v>
      </c>
      <c r="C60" s="15">
        <v>216851.25</v>
      </c>
      <c r="D60" s="15">
        <f t="shared" si="0"/>
        <v>16437606.75</v>
      </c>
      <c r="E60" s="15">
        <v>1148627</v>
      </c>
      <c r="F60" s="16">
        <v>1110</v>
      </c>
      <c r="G60" s="15">
        <v>148</v>
      </c>
    </row>
    <row r="61" spans="1:7" ht="12">
      <c r="A61" s="22">
        <f t="shared" si="1"/>
        <v>42427</v>
      </c>
      <c r="B61" s="15">
        <v>17756586</v>
      </c>
      <c r="C61" s="15">
        <v>239610.1</v>
      </c>
      <c r="D61" s="15">
        <f t="shared" si="0"/>
        <v>16356474.899999999</v>
      </c>
      <c r="E61" s="15">
        <v>1160501</v>
      </c>
      <c r="F61" s="16">
        <v>1110</v>
      </c>
      <c r="G61" s="15">
        <v>149</v>
      </c>
    </row>
    <row r="62" spans="1:7" ht="12">
      <c r="A62" s="22">
        <f t="shared" si="1"/>
        <v>42434</v>
      </c>
      <c r="B62" s="15">
        <v>17554660</v>
      </c>
      <c r="C62" s="15">
        <v>207935.8</v>
      </c>
      <c r="D62" s="15">
        <f t="shared" si="0"/>
        <v>16210853.2</v>
      </c>
      <c r="E62" s="15">
        <v>1135871</v>
      </c>
      <c r="F62" s="16">
        <v>1110</v>
      </c>
      <c r="G62" s="15">
        <v>146</v>
      </c>
    </row>
    <row r="63" spans="1:7" ht="12">
      <c r="A63" s="22">
        <f t="shared" si="1"/>
        <v>42441</v>
      </c>
      <c r="B63" s="15">
        <v>18687840</v>
      </c>
      <c r="C63" s="15">
        <v>236531.5</v>
      </c>
      <c r="D63" s="15">
        <f t="shared" si="0"/>
        <v>17260535.5</v>
      </c>
      <c r="E63" s="15">
        <v>1190773</v>
      </c>
      <c r="F63" s="16">
        <v>1110</v>
      </c>
      <c r="G63" s="15">
        <v>153</v>
      </c>
    </row>
    <row r="64" spans="1:7" ht="12">
      <c r="A64" s="22">
        <f t="shared" si="1"/>
        <v>42448</v>
      </c>
      <c r="B64" s="15">
        <v>19435453</v>
      </c>
      <c r="C64" s="15">
        <f>208821.71-44010</f>
        <v>164811.71</v>
      </c>
      <c r="D64" s="15">
        <f t="shared" si="0"/>
        <v>18010534.29</v>
      </c>
      <c r="E64" s="15">
        <v>1260107</v>
      </c>
      <c r="F64" s="16">
        <v>1110</v>
      </c>
      <c r="G64" s="15">
        <v>162</v>
      </c>
    </row>
    <row r="65" spans="1:7" ht="12">
      <c r="A65" s="22">
        <f t="shared" si="1"/>
        <v>42455</v>
      </c>
      <c r="B65" s="15">
        <v>17679572</v>
      </c>
      <c r="C65" s="15">
        <v>222870.6</v>
      </c>
      <c r="D65" s="15">
        <f t="shared" si="0"/>
        <v>16362531.399999999</v>
      </c>
      <c r="E65" s="15">
        <v>1094170</v>
      </c>
      <c r="F65" s="16">
        <v>1110</v>
      </c>
      <c r="G65" s="15">
        <v>141</v>
      </c>
    </row>
    <row r="66" ht="12">
      <c r="A66" s="22"/>
    </row>
    <row r="67" spans="1:7" ht="12.75" thickBot="1">
      <c r="A67" s="3" t="s">
        <v>8</v>
      </c>
      <c r="B67" s="17">
        <f>SUM(B13:B65)</f>
        <v>930355991</v>
      </c>
      <c r="C67" s="17">
        <f>SUM(C13:C65)</f>
        <v>11391907.660000004</v>
      </c>
      <c r="D67" s="17">
        <f>SUM(D13:D65)</f>
        <v>857113443.3400003</v>
      </c>
      <c r="E67" s="17">
        <f>SUM(E13:E65)</f>
        <v>61850640</v>
      </c>
      <c r="F67" s="24">
        <f>SUM(F13:F66)/COUNT(F13:F66)</f>
        <v>1109.946091644205</v>
      </c>
      <c r="G67" s="17">
        <f>+E67/SUM(F13:F66)/7</f>
        <v>150.1994706039486</v>
      </c>
    </row>
    <row r="68" spans="1:5" s="21" customFormat="1" ht="12.75" thickTop="1">
      <c r="A68" s="19"/>
      <c r="B68" s="20"/>
      <c r="C68" s="20"/>
      <c r="D68" s="20"/>
      <c r="E68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monticellocasinoandraceway.com"/>
  </hyperlinks>
  <printOptions horizontalCentered="1"/>
  <pageMargins left="0" right="0" top="0.5" bottom="0.5" header="0.5" footer="0.5"/>
  <pageSetup fitToHeight="1" fitToWidth="1" horizontalDpi="600" verticalDpi="600" orientation="portrait" scale="84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11" topLeftCell="A56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5.140625" style="3" customWidth="1"/>
    <col min="2" max="5" width="15.140625" style="15" customWidth="1"/>
    <col min="6" max="6" width="15.140625" style="16" customWidth="1"/>
    <col min="7" max="7" width="15.140625" style="15" customWidth="1"/>
  </cols>
  <sheetData>
    <row r="1" spans="1:11" ht="18">
      <c r="A1" s="35" t="s">
        <v>16</v>
      </c>
      <c r="B1" s="35"/>
      <c r="C1" s="35"/>
      <c r="D1" s="35"/>
      <c r="E1" s="35"/>
      <c r="F1" s="35"/>
      <c r="G1" s="35"/>
      <c r="H1" s="26"/>
      <c r="I1" s="26"/>
      <c r="J1" s="26"/>
      <c r="K1" s="26"/>
    </row>
    <row r="2" spans="1:11" ht="15">
      <c r="A2" s="36" t="s">
        <v>17</v>
      </c>
      <c r="B2" s="36"/>
      <c r="C2" s="36"/>
      <c r="D2" s="36"/>
      <c r="E2" s="36"/>
      <c r="F2" s="36"/>
      <c r="G2" s="36"/>
      <c r="H2" s="27"/>
      <c r="I2" s="27"/>
      <c r="J2" s="27"/>
      <c r="K2" s="27"/>
    </row>
    <row r="3" spans="1:11" s="1" customFormat="1" ht="15">
      <c r="A3" s="36" t="s">
        <v>18</v>
      </c>
      <c r="B3" s="36"/>
      <c r="C3" s="36"/>
      <c r="D3" s="36"/>
      <c r="E3" s="36"/>
      <c r="F3" s="36"/>
      <c r="G3" s="36"/>
      <c r="H3" s="27"/>
      <c r="I3" s="27"/>
      <c r="J3" s="27"/>
      <c r="K3" s="27"/>
    </row>
    <row r="4" spans="1:11" s="1" customFormat="1" ht="15">
      <c r="A4" s="37" t="s">
        <v>27</v>
      </c>
      <c r="B4" s="37"/>
      <c r="C4" s="37"/>
      <c r="D4" s="37"/>
      <c r="E4" s="37"/>
      <c r="F4" s="37"/>
      <c r="G4" s="37"/>
      <c r="H4" s="28"/>
      <c r="I4" s="28"/>
      <c r="J4" s="28"/>
      <c r="K4" s="28"/>
    </row>
    <row r="5" spans="1:11" s="1" customFormat="1" ht="13.5">
      <c r="A5" s="38" t="s">
        <v>20</v>
      </c>
      <c r="B5" s="38"/>
      <c r="C5" s="38"/>
      <c r="D5" s="38"/>
      <c r="E5" s="38"/>
      <c r="F5" s="38"/>
      <c r="G5" s="38"/>
      <c r="H5" s="29"/>
      <c r="I5" s="29"/>
      <c r="J5" s="29"/>
      <c r="K5" s="29"/>
    </row>
    <row r="6" spans="1:11" s="1" customFormat="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1" customFormat="1" ht="12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29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1.25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1.25">
      <c r="A11" s="13" t="s">
        <v>11</v>
      </c>
      <c r="B11" s="8" t="s">
        <v>3</v>
      </c>
      <c r="C11" s="8" t="s">
        <v>26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">
      <c r="A13" s="22">
        <v>41727</v>
      </c>
      <c r="B13" s="15">
        <v>16248461.55</v>
      </c>
      <c r="C13" s="15">
        <f>200958.55-56637</f>
        <v>144321.55</v>
      </c>
      <c r="D13" s="15">
        <f aca="true" t="shared" si="0" ref="D13:D64">+B13-C13-E13</f>
        <v>14913577</v>
      </c>
      <c r="E13" s="15">
        <v>1190563</v>
      </c>
      <c r="F13" s="16">
        <v>1110</v>
      </c>
      <c r="G13" s="15">
        <v>153</v>
      </c>
    </row>
    <row r="14" spans="1:7" ht="12">
      <c r="A14" s="22">
        <f aca="true" t="shared" si="1" ref="A14:A64">+A13+7</f>
        <v>41734</v>
      </c>
      <c r="B14" s="15">
        <v>16309499.85</v>
      </c>
      <c r="C14" s="15">
        <v>192296.85</v>
      </c>
      <c r="D14" s="15">
        <f t="shared" si="0"/>
        <v>15054017</v>
      </c>
      <c r="E14" s="15">
        <v>1063186</v>
      </c>
      <c r="F14" s="16">
        <v>1110</v>
      </c>
      <c r="G14" s="15">
        <v>137</v>
      </c>
    </row>
    <row r="15" spans="1:7" ht="12">
      <c r="A15" s="22">
        <f t="shared" si="1"/>
        <v>41741</v>
      </c>
      <c r="B15" s="15">
        <v>16692910.15</v>
      </c>
      <c r="C15" s="15">
        <v>169220.15</v>
      </c>
      <c r="D15" s="15">
        <f t="shared" si="0"/>
        <v>15429066</v>
      </c>
      <c r="E15" s="15">
        <v>1094624</v>
      </c>
      <c r="F15" s="16">
        <v>1110</v>
      </c>
      <c r="G15" s="15">
        <v>141</v>
      </c>
    </row>
    <row r="16" spans="1:7" ht="12">
      <c r="A16" s="22">
        <f t="shared" si="1"/>
        <v>41748</v>
      </c>
      <c r="B16" s="15">
        <v>16550172.05</v>
      </c>
      <c r="C16" s="15">
        <f>165815.05-328694</f>
        <v>-162878.95</v>
      </c>
      <c r="D16" s="15">
        <f t="shared" si="0"/>
        <v>15281959</v>
      </c>
      <c r="E16" s="15">
        <v>1431092</v>
      </c>
      <c r="F16" s="16">
        <v>1110</v>
      </c>
      <c r="G16" s="15">
        <v>184</v>
      </c>
    </row>
    <row r="17" spans="1:7" ht="12">
      <c r="A17" s="22">
        <f t="shared" si="1"/>
        <v>41755</v>
      </c>
      <c r="B17" s="15">
        <v>15143762.8</v>
      </c>
      <c r="C17" s="15">
        <f>122488.8-55417</f>
        <v>67071.8</v>
      </c>
      <c r="D17" s="15">
        <f t="shared" si="0"/>
        <v>13963408</v>
      </c>
      <c r="E17" s="15">
        <v>1113283</v>
      </c>
      <c r="F17" s="16">
        <v>1110</v>
      </c>
      <c r="G17" s="15">
        <v>143</v>
      </c>
    </row>
    <row r="18" spans="1:7" ht="12">
      <c r="A18" s="22">
        <f t="shared" si="1"/>
        <v>41762</v>
      </c>
      <c r="B18" s="15">
        <v>19062140.25</v>
      </c>
      <c r="C18" s="15">
        <v>283216.25</v>
      </c>
      <c r="D18" s="15">
        <f t="shared" si="0"/>
        <v>17561173</v>
      </c>
      <c r="E18" s="15">
        <v>1217751</v>
      </c>
      <c r="F18" s="16">
        <v>1110</v>
      </c>
      <c r="G18" s="15">
        <v>157</v>
      </c>
    </row>
    <row r="19" spans="1:7" ht="12">
      <c r="A19" s="22">
        <f t="shared" si="1"/>
        <v>41769</v>
      </c>
      <c r="B19" s="15">
        <v>16679122.48</v>
      </c>
      <c r="C19" s="15">
        <v>185596.48</v>
      </c>
      <c r="D19" s="15">
        <f t="shared" si="0"/>
        <v>15361227</v>
      </c>
      <c r="E19" s="15">
        <v>1132299</v>
      </c>
      <c r="F19" s="16">
        <v>1110</v>
      </c>
      <c r="G19" s="15">
        <v>146</v>
      </c>
    </row>
    <row r="20" spans="1:7" ht="12">
      <c r="A20" s="22">
        <f t="shared" si="1"/>
        <v>41776</v>
      </c>
      <c r="B20" s="15">
        <v>16667427.98</v>
      </c>
      <c r="C20" s="15">
        <v>165841.98</v>
      </c>
      <c r="D20" s="15">
        <f t="shared" si="0"/>
        <v>15357026</v>
      </c>
      <c r="E20" s="15">
        <v>1144560</v>
      </c>
      <c r="F20" s="16">
        <v>1110</v>
      </c>
      <c r="G20" s="15">
        <v>147</v>
      </c>
    </row>
    <row r="21" spans="1:7" ht="12">
      <c r="A21" s="22">
        <f t="shared" si="1"/>
        <v>41783</v>
      </c>
      <c r="B21" s="15">
        <v>18340786.8</v>
      </c>
      <c r="C21" s="15">
        <v>211053.8</v>
      </c>
      <c r="D21" s="15">
        <f t="shared" si="0"/>
        <v>16924524</v>
      </c>
      <c r="E21" s="15">
        <v>1205209</v>
      </c>
      <c r="F21" s="16">
        <v>1110</v>
      </c>
      <c r="G21" s="15">
        <v>155</v>
      </c>
    </row>
    <row r="22" spans="1:7" ht="12">
      <c r="A22" s="22">
        <f t="shared" si="1"/>
        <v>41790</v>
      </c>
      <c r="B22" s="15">
        <v>18941758.38</v>
      </c>
      <c r="C22" s="15">
        <f>249042.38-51776</f>
        <v>197266.38</v>
      </c>
      <c r="D22" s="15">
        <f t="shared" si="0"/>
        <v>17484267</v>
      </c>
      <c r="E22" s="15">
        <v>1260225</v>
      </c>
      <c r="F22" s="16">
        <v>1110</v>
      </c>
      <c r="G22" s="15">
        <v>162</v>
      </c>
    </row>
    <row r="23" spans="1:7" ht="12">
      <c r="A23" s="22">
        <f t="shared" si="1"/>
        <v>41797</v>
      </c>
      <c r="B23" s="15">
        <v>17378680.28</v>
      </c>
      <c r="C23" s="15">
        <v>188355.28</v>
      </c>
      <c r="D23" s="15">
        <f t="shared" si="0"/>
        <v>16052247</v>
      </c>
      <c r="E23" s="15">
        <v>1138078</v>
      </c>
      <c r="F23" s="16">
        <v>1110</v>
      </c>
      <c r="G23" s="15">
        <v>146</v>
      </c>
    </row>
    <row r="24" spans="1:7" ht="12">
      <c r="A24" s="22">
        <f t="shared" si="1"/>
        <v>41804</v>
      </c>
      <c r="B24" s="15">
        <v>16292335.25</v>
      </c>
      <c r="C24" s="15">
        <v>162305.25</v>
      </c>
      <c r="D24" s="15">
        <f t="shared" si="0"/>
        <v>15054116</v>
      </c>
      <c r="E24" s="15">
        <v>1075914</v>
      </c>
      <c r="F24" s="16">
        <v>1110</v>
      </c>
      <c r="G24" s="15">
        <v>138</v>
      </c>
    </row>
    <row r="25" spans="1:7" ht="12">
      <c r="A25" s="22">
        <f t="shared" si="1"/>
        <v>41811</v>
      </c>
      <c r="B25" s="15">
        <v>17944653.37</v>
      </c>
      <c r="C25" s="15">
        <v>181272.37</v>
      </c>
      <c r="D25" s="15">
        <f t="shared" si="0"/>
        <v>16592499</v>
      </c>
      <c r="E25" s="15">
        <v>1170882</v>
      </c>
      <c r="F25" s="16">
        <v>1110</v>
      </c>
      <c r="G25" s="15">
        <v>151</v>
      </c>
    </row>
    <row r="26" spans="1:7" ht="12">
      <c r="A26" s="22">
        <f t="shared" si="1"/>
        <v>41818</v>
      </c>
      <c r="B26" s="15">
        <v>16854120.31</v>
      </c>
      <c r="C26" s="15">
        <v>202316.31</v>
      </c>
      <c r="D26" s="15">
        <f t="shared" si="0"/>
        <v>15517784.999999998</v>
      </c>
      <c r="E26" s="15">
        <v>1134019</v>
      </c>
      <c r="F26" s="16">
        <v>1110</v>
      </c>
      <c r="G26" s="15">
        <v>146</v>
      </c>
    </row>
    <row r="27" spans="1:7" ht="12">
      <c r="A27" s="22">
        <f t="shared" si="1"/>
        <v>41825</v>
      </c>
      <c r="B27" s="15">
        <v>20737379.8</v>
      </c>
      <c r="C27" s="15">
        <v>241091.8</v>
      </c>
      <c r="D27" s="15">
        <f t="shared" si="0"/>
        <v>19109244</v>
      </c>
      <c r="E27" s="15">
        <v>1387044</v>
      </c>
      <c r="F27" s="16">
        <v>1110</v>
      </c>
      <c r="G27" s="15">
        <v>179</v>
      </c>
    </row>
    <row r="28" spans="1:7" ht="12">
      <c r="A28" s="22">
        <f t="shared" si="1"/>
        <v>41832</v>
      </c>
      <c r="B28" s="15">
        <v>18371642.12</v>
      </c>
      <c r="C28" s="15">
        <f>196315.12-52574</f>
        <v>143741.12</v>
      </c>
      <c r="D28" s="15">
        <f t="shared" si="0"/>
        <v>16951203</v>
      </c>
      <c r="E28" s="15">
        <v>1276698</v>
      </c>
      <c r="F28" s="16">
        <v>1110</v>
      </c>
      <c r="G28" s="15">
        <v>164</v>
      </c>
    </row>
    <row r="29" spans="1:7" ht="12">
      <c r="A29" s="22">
        <f t="shared" si="1"/>
        <v>41839</v>
      </c>
      <c r="B29" s="15">
        <v>18770252.24</v>
      </c>
      <c r="C29" s="15">
        <v>173032.24</v>
      </c>
      <c r="D29" s="15">
        <f t="shared" si="0"/>
        <v>17351057</v>
      </c>
      <c r="E29" s="15">
        <v>1246163</v>
      </c>
      <c r="F29" s="16">
        <v>1110</v>
      </c>
      <c r="G29" s="15">
        <v>160</v>
      </c>
    </row>
    <row r="30" spans="1:7" ht="12">
      <c r="A30" s="22">
        <f t="shared" si="1"/>
        <v>41846</v>
      </c>
      <c r="B30" s="15">
        <v>17093499.05</v>
      </c>
      <c r="C30" s="15">
        <f>178723.05-75325</f>
        <v>103398.04999999999</v>
      </c>
      <c r="D30" s="15">
        <f t="shared" si="0"/>
        <v>15653096</v>
      </c>
      <c r="E30" s="15">
        <v>1337005</v>
      </c>
      <c r="F30" s="16">
        <v>1110</v>
      </c>
      <c r="G30" s="15">
        <v>172</v>
      </c>
    </row>
    <row r="31" spans="1:7" ht="12">
      <c r="A31" s="22">
        <f t="shared" si="1"/>
        <v>41853</v>
      </c>
      <c r="B31" s="15">
        <v>19925126</v>
      </c>
      <c r="C31" s="15">
        <v>206164</v>
      </c>
      <c r="D31" s="15">
        <f t="shared" si="0"/>
        <v>18412575</v>
      </c>
      <c r="E31" s="15">
        <v>1306387</v>
      </c>
      <c r="F31" s="16">
        <v>1110</v>
      </c>
      <c r="G31" s="15">
        <v>168</v>
      </c>
    </row>
    <row r="32" spans="1:7" ht="12">
      <c r="A32" s="22">
        <f t="shared" si="1"/>
        <v>41860</v>
      </c>
      <c r="B32" s="15">
        <v>18326817.35</v>
      </c>
      <c r="C32" s="15">
        <v>226152.35</v>
      </c>
      <c r="D32" s="15">
        <f t="shared" si="0"/>
        <v>16916492</v>
      </c>
      <c r="E32" s="15">
        <v>1184173</v>
      </c>
      <c r="F32" s="16">
        <v>1110</v>
      </c>
      <c r="G32" s="15">
        <v>152</v>
      </c>
    </row>
    <row r="33" spans="1:7" ht="12">
      <c r="A33" s="22">
        <f t="shared" si="1"/>
        <v>41867</v>
      </c>
      <c r="B33" s="15">
        <v>18124720.4</v>
      </c>
      <c r="C33" s="15">
        <v>216705.4</v>
      </c>
      <c r="D33" s="15">
        <f t="shared" si="0"/>
        <v>16632329</v>
      </c>
      <c r="E33" s="15">
        <v>1275686</v>
      </c>
      <c r="F33" s="16">
        <v>1110</v>
      </c>
      <c r="G33" s="15">
        <v>164</v>
      </c>
    </row>
    <row r="34" spans="1:7" ht="12">
      <c r="A34" s="22">
        <f t="shared" si="1"/>
        <v>41874</v>
      </c>
      <c r="B34" s="15">
        <v>17568720.05</v>
      </c>
      <c r="C34" s="15">
        <f>186665.05-52806</f>
        <v>133859.05</v>
      </c>
      <c r="D34" s="15">
        <f t="shared" si="0"/>
        <v>16290170</v>
      </c>
      <c r="E34" s="15">
        <v>1144691</v>
      </c>
      <c r="F34" s="16">
        <v>1110</v>
      </c>
      <c r="G34" s="15">
        <v>147</v>
      </c>
    </row>
    <row r="35" spans="1:7" ht="12">
      <c r="A35" s="22">
        <f t="shared" si="1"/>
        <v>41881</v>
      </c>
      <c r="B35" s="15">
        <v>20281603.54</v>
      </c>
      <c r="C35" s="15">
        <v>242482.54</v>
      </c>
      <c r="D35" s="15">
        <f t="shared" si="0"/>
        <v>18638782</v>
      </c>
      <c r="E35" s="15">
        <v>1400339</v>
      </c>
      <c r="F35" s="16">
        <v>1110</v>
      </c>
      <c r="G35" s="15">
        <v>180</v>
      </c>
    </row>
    <row r="36" spans="1:7" ht="12">
      <c r="A36" s="22">
        <f t="shared" si="1"/>
        <v>41888</v>
      </c>
      <c r="B36" s="15">
        <v>19657146.59</v>
      </c>
      <c r="C36" s="15">
        <v>247843.59</v>
      </c>
      <c r="D36" s="15">
        <f t="shared" si="0"/>
        <v>18026390</v>
      </c>
      <c r="E36" s="15">
        <v>1382913</v>
      </c>
      <c r="F36" s="16">
        <v>1110</v>
      </c>
      <c r="G36" s="15">
        <v>178</v>
      </c>
    </row>
    <row r="37" spans="1:7" ht="12">
      <c r="A37" s="22">
        <f t="shared" si="1"/>
        <v>41895</v>
      </c>
      <c r="B37" s="15">
        <v>16204961.9</v>
      </c>
      <c r="C37" s="15">
        <v>198464.9</v>
      </c>
      <c r="D37" s="15">
        <f t="shared" si="0"/>
        <v>14965645</v>
      </c>
      <c r="E37" s="15">
        <v>1040852</v>
      </c>
      <c r="F37" s="16">
        <v>1110</v>
      </c>
      <c r="G37" s="15">
        <v>134</v>
      </c>
    </row>
    <row r="38" spans="1:7" ht="12">
      <c r="A38" s="22">
        <f t="shared" si="1"/>
        <v>41902</v>
      </c>
      <c r="B38" s="15">
        <v>16630773.55</v>
      </c>
      <c r="C38" s="15">
        <f>178745.55-54368</f>
        <v>124377.54999999999</v>
      </c>
      <c r="D38" s="15">
        <f t="shared" si="0"/>
        <v>15250068</v>
      </c>
      <c r="E38" s="15">
        <v>1256328</v>
      </c>
      <c r="F38" s="16">
        <v>1110</v>
      </c>
      <c r="G38" s="15">
        <v>162</v>
      </c>
    </row>
    <row r="39" spans="1:7" ht="12">
      <c r="A39" s="22">
        <f t="shared" si="1"/>
        <v>41909</v>
      </c>
      <c r="B39" s="15">
        <v>16267216.16</v>
      </c>
      <c r="C39" s="15">
        <v>187298.16</v>
      </c>
      <c r="D39" s="15">
        <f t="shared" si="0"/>
        <v>14940510</v>
      </c>
      <c r="E39" s="15">
        <v>1139408</v>
      </c>
      <c r="F39" s="16">
        <v>1110</v>
      </c>
      <c r="G39" s="15">
        <v>147</v>
      </c>
    </row>
    <row r="40" spans="1:7" ht="12">
      <c r="A40" s="22">
        <f t="shared" si="1"/>
        <v>41916</v>
      </c>
      <c r="B40" s="15">
        <v>16795408.85</v>
      </c>
      <c r="C40" s="15">
        <v>195953.85</v>
      </c>
      <c r="D40" s="15">
        <f t="shared" si="0"/>
        <v>15423421.000000002</v>
      </c>
      <c r="E40" s="15">
        <v>1176034</v>
      </c>
      <c r="F40" s="16">
        <v>1110</v>
      </c>
      <c r="G40" s="15">
        <v>151</v>
      </c>
    </row>
    <row r="41" spans="1:7" ht="12">
      <c r="A41" s="22">
        <f t="shared" si="1"/>
        <v>41923</v>
      </c>
      <c r="B41" s="15">
        <v>16267698.86</v>
      </c>
      <c r="C41" s="15">
        <v>208903.86</v>
      </c>
      <c r="D41" s="15">
        <f t="shared" si="0"/>
        <v>14999486</v>
      </c>
      <c r="E41" s="15">
        <v>1059309</v>
      </c>
      <c r="F41" s="16">
        <v>1110</v>
      </c>
      <c r="G41" s="15">
        <v>136</v>
      </c>
    </row>
    <row r="42" spans="1:7" ht="12">
      <c r="A42" s="22">
        <f t="shared" si="1"/>
        <v>41930</v>
      </c>
      <c r="B42" s="15">
        <v>16219569.45</v>
      </c>
      <c r="C42" s="15">
        <v>211132.45</v>
      </c>
      <c r="D42" s="15">
        <f t="shared" si="0"/>
        <v>14827237</v>
      </c>
      <c r="E42" s="15">
        <v>1181200</v>
      </c>
      <c r="F42" s="16">
        <v>1110</v>
      </c>
      <c r="G42" s="15">
        <v>152</v>
      </c>
    </row>
    <row r="43" spans="1:7" ht="12">
      <c r="A43" s="22">
        <f t="shared" si="1"/>
        <v>41937</v>
      </c>
      <c r="B43" s="15">
        <v>15511593.65</v>
      </c>
      <c r="C43" s="15">
        <f>192206.65-778450</f>
        <v>-586243.35</v>
      </c>
      <c r="D43" s="15">
        <f t="shared" si="0"/>
        <v>14255421</v>
      </c>
      <c r="E43" s="15">
        <v>1842416</v>
      </c>
      <c r="F43" s="16">
        <v>1110</v>
      </c>
      <c r="G43" s="15">
        <v>237</v>
      </c>
    </row>
    <row r="44" spans="1:7" ht="12">
      <c r="A44" s="22">
        <f t="shared" si="1"/>
        <v>41944</v>
      </c>
      <c r="B44" s="15">
        <v>16276647.67</v>
      </c>
      <c r="C44" s="15">
        <v>224983.67</v>
      </c>
      <c r="D44" s="15">
        <f t="shared" si="0"/>
        <v>15007183</v>
      </c>
      <c r="E44" s="15">
        <v>1044481</v>
      </c>
      <c r="F44" s="16">
        <v>1110</v>
      </c>
      <c r="G44" s="15">
        <v>134</v>
      </c>
    </row>
    <row r="45" spans="1:7" ht="12">
      <c r="A45" s="22">
        <f t="shared" si="1"/>
        <v>41951</v>
      </c>
      <c r="B45" s="15">
        <v>16752223.99</v>
      </c>
      <c r="C45" s="15">
        <v>213994.99</v>
      </c>
      <c r="D45" s="15">
        <f t="shared" si="0"/>
        <v>15381523</v>
      </c>
      <c r="E45" s="15">
        <v>1156706</v>
      </c>
      <c r="F45" s="16">
        <v>1110</v>
      </c>
      <c r="G45" s="15">
        <v>149</v>
      </c>
    </row>
    <row r="46" spans="1:7" ht="12">
      <c r="A46" s="22">
        <f t="shared" si="1"/>
        <v>41958</v>
      </c>
      <c r="B46" s="15">
        <v>15115573.94</v>
      </c>
      <c r="C46" s="15">
        <v>178485.94</v>
      </c>
      <c r="D46" s="15">
        <f t="shared" si="0"/>
        <v>13867687</v>
      </c>
      <c r="E46" s="15">
        <v>1069401</v>
      </c>
      <c r="F46" s="16">
        <v>1110</v>
      </c>
      <c r="G46" s="15">
        <v>138</v>
      </c>
    </row>
    <row r="47" spans="1:7" ht="12">
      <c r="A47" s="22">
        <f t="shared" si="1"/>
        <v>41965</v>
      </c>
      <c r="B47" s="15">
        <v>13587956.75</v>
      </c>
      <c r="C47" s="15">
        <v>197683.75</v>
      </c>
      <c r="D47" s="15">
        <f t="shared" si="0"/>
        <v>12472899</v>
      </c>
      <c r="E47" s="15">
        <v>917374</v>
      </c>
      <c r="F47" s="16">
        <v>1110</v>
      </c>
      <c r="G47" s="15">
        <v>118</v>
      </c>
    </row>
    <row r="48" spans="1:7" ht="12">
      <c r="A48" s="22">
        <f t="shared" si="1"/>
        <v>41972</v>
      </c>
      <c r="B48" s="15">
        <v>14350896.7</v>
      </c>
      <c r="C48" s="15">
        <f>189148.7-78146</f>
        <v>111002.70000000001</v>
      </c>
      <c r="D48" s="15">
        <f t="shared" si="0"/>
        <v>13254248</v>
      </c>
      <c r="E48" s="15">
        <v>985646</v>
      </c>
      <c r="F48" s="16">
        <v>1110</v>
      </c>
      <c r="G48" s="15">
        <v>127</v>
      </c>
    </row>
    <row r="49" spans="1:7" ht="12">
      <c r="A49" s="22">
        <f t="shared" si="1"/>
        <v>41979</v>
      </c>
      <c r="B49" s="15">
        <v>13124730.45</v>
      </c>
      <c r="C49" s="15">
        <v>189881.45</v>
      </c>
      <c r="D49" s="15">
        <f t="shared" si="0"/>
        <v>12062463</v>
      </c>
      <c r="E49" s="15">
        <v>872386</v>
      </c>
      <c r="F49" s="16">
        <v>1110</v>
      </c>
      <c r="G49" s="15">
        <v>112</v>
      </c>
    </row>
    <row r="50" spans="1:7" ht="12">
      <c r="A50" s="22">
        <f t="shared" si="1"/>
        <v>41986</v>
      </c>
      <c r="B50" s="15">
        <v>13580072.35</v>
      </c>
      <c r="C50" s="15">
        <f>212969.35-85100</f>
        <v>127869.35</v>
      </c>
      <c r="D50" s="15">
        <f t="shared" si="0"/>
        <v>12531259</v>
      </c>
      <c r="E50" s="15">
        <v>920944</v>
      </c>
      <c r="F50" s="16">
        <v>1110</v>
      </c>
      <c r="G50" s="15">
        <v>119</v>
      </c>
    </row>
    <row r="51" spans="1:7" ht="12">
      <c r="A51" s="22">
        <f t="shared" si="1"/>
        <v>41993</v>
      </c>
      <c r="B51" s="15">
        <v>13763400.09</v>
      </c>
      <c r="C51" s="15">
        <v>181794.09</v>
      </c>
      <c r="D51" s="15">
        <f t="shared" si="0"/>
        <v>12628600</v>
      </c>
      <c r="E51" s="15">
        <v>953006</v>
      </c>
      <c r="F51" s="16">
        <v>1110</v>
      </c>
      <c r="G51" s="15">
        <v>123</v>
      </c>
    </row>
    <row r="52" spans="1:7" ht="12">
      <c r="A52" s="22">
        <f t="shared" si="1"/>
        <v>42000</v>
      </c>
      <c r="B52" s="15">
        <v>14462464.7</v>
      </c>
      <c r="C52" s="15">
        <v>144468.7</v>
      </c>
      <c r="D52" s="15">
        <f t="shared" si="0"/>
        <v>13379726</v>
      </c>
      <c r="E52" s="15">
        <v>938270</v>
      </c>
      <c r="F52" s="16">
        <v>1110</v>
      </c>
      <c r="G52" s="15">
        <v>121</v>
      </c>
    </row>
    <row r="53" spans="1:7" ht="12">
      <c r="A53" s="22">
        <f t="shared" si="1"/>
        <v>42007</v>
      </c>
      <c r="B53" s="15">
        <v>17401389.8</v>
      </c>
      <c r="C53" s="15">
        <v>210781.8</v>
      </c>
      <c r="D53" s="15">
        <f t="shared" si="0"/>
        <v>16022549</v>
      </c>
      <c r="E53" s="15">
        <v>1168059</v>
      </c>
      <c r="F53" s="16">
        <v>1110</v>
      </c>
      <c r="G53" s="15">
        <v>150</v>
      </c>
    </row>
    <row r="54" spans="1:7" ht="12">
      <c r="A54" s="22">
        <f t="shared" si="1"/>
        <v>42014</v>
      </c>
      <c r="B54" s="15">
        <v>12542860.9</v>
      </c>
      <c r="C54" s="15">
        <v>176053.9</v>
      </c>
      <c r="D54" s="15">
        <f t="shared" si="0"/>
        <v>11629478</v>
      </c>
      <c r="E54" s="15">
        <v>737329</v>
      </c>
      <c r="F54" s="16">
        <v>1110</v>
      </c>
      <c r="G54" s="15">
        <v>95</v>
      </c>
    </row>
    <row r="55" spans="1:7" ht="12">
      <c r="A55" s="22">
        <f t="shared" si="1"/>
        <v>42021</v>
      </c>
      <c r="B55" s="15">
        <v>14514795.3</v>
      </c>
      <c r="C55" s="15">
        <f>202431.3-103555</f>
        <v>98876.29999999999</v>
      </c>
      <c r="D55" s="15">
        <f t="shared" si="0"/>
        <v>13305050</v>
      </c>
      <c r="E55" s="15">
        <v>1110869</v>
      </c>
      <c r="F55" s="16">
        <v>1110</v>
      </c>
      <c r="G55" s="15">
        <v>143</v>
      </c>
    </row>
    <row r="56" spans="1:7" ht="12">
      <c r="A56" s="22">
        <f t="shared" si="1"/>
        <v>42028</v>
      </c>
      <c r="B56" s="15">
        <v>10624963.1</v>
      </c>
      <c r="C56" s="15">
        <v>139701.1</v>
      </c>
      <c r="D56" s="15">
        <f t="shared" si="0"/>
        <v>9690018</v>
      </c>
      <c r="E56" s="15">
        <v>795244</v>
      </c>
      <c r="F56" s="16">
        <v>1110</v>
      </c>
      <c r="G56" s="15">
        <v>102</v>
      </c>
    </row>
    <row r="57" spans="1:7" ht="12">
      <c r="A57" s="22">
        <f t="shared" si="1"/>
        <v>42035</v>
      </c>
      <c r="B57" s="15">
        <v>13295434.05</v>
      </c>
      <c r="C57" s="15">
        <v>195144.05</v>
      </c>
      <c r="D57" s="15">
        <f t="shared" si="0"/>
        <v>12338262</v>
      </c>
      <c r="E57" s="15">
        <v>762028</v>
      </c>
      <c r="F57" s="16">
        <v>1110</v>
      </c>
      <c r="G57" s="15">
        <v>98</v>
      </c>
    </row>
    <row r="58" spans="1:7" ht="12">
      <c r="A58" s="22">
        <f t="shared" si="1"/>
        <v>42042</v>
      </c>
      <c r="B58" s="15">
        <v>12347555.1</v>
      </c>
      <c r="C58" s="15">
        <v>156515.1</v>
      </c>
      <c r="D58" s="15">
        <f t="shared" si="0"/>
        <v>11367446</v>
      </c>
      <c r="E58" s="15">
        <v>823594</v>
      </c>
      <c r="F58" s="16">
        <v>1110</v>
      </c>
      <c r="G58" s="15">
        <v>106</v>
      </c>
    </row>
    <row r="59" spans="1:7" ht="12">
      <c r="A59" s="22">
        <f t="shared" si="1"/>
        <v>42049</v>
      </c>
      <c r="B59" s="15">
        <v>11218138.65</v>
      </c>
      <c r="C59" s="15">
        <v>130052.65</v>
      </c>
      <c r="D59" s="15">
        <f t="shared" si="0"/>
        <v>10369753</v>
      </c>
      <c r="E59" s="15">
        <v>718333</v>
      </c>
      <c r="F59" s="16">
        <v>1110</v>
      </c>
      <c r="G59" s="15">
        <v>92</v>
      </c>
    </row>
    <row r="60" spans="1:7" ht="12">
      <c r="A60" s="22">
        <f t="shared" si="1"/>
        <v>42056</v>
      </c>
      <c r="B60" s="15">
        <v>13397415.95</v>
      </c>
      <c r="C60" s="15">
        <f>175745.95-44740</f>
        <v>131005.95000000001</v>
      </c>
      <c r="D60" s="15">
        <f t="shared" si="0"/>
        <v>12364566</v>
      </c>
      <c r="E60" s="15">
        <v>901844</v>
      </c>
      <c r="F60" s="16">
        <v>1110</v>
      </c>
      <c r="G60" s="15">
        <v>116</v>
      </c>
    </row>
    <row r="61" spans="1:7" ht="12">
      <c r="A61" s="22">
        <f t="shared" si="1"/>
        <v>42063</v>
      </c>
      <c r="B61" s="15">
        <v>19489029.65</v>
      </c>
      <c r="C61" s="15">
        <v>294957.65</v>
      </c>
      <c r="D61" s="15">
        <f t="shared" si="0"/>
        <v>17903092</v>
      </c>
      <c r="E61" s="15">
        <v>1290980</v>
      </c>
      <c r="F61" s="16">
        <v>1110</v>
      </c>
      <c r="G61" s="15">
        <v>166</v>
      </c>
    </row>
    <row r="62" spans="1:7" ht="12">
      <c r="A62" s="22">
        <f t="shared" si="1"/>
        <v>42070</v>
      </c>
      <c r="B62" s="15">
        <v>13313488</v>
      </c>
      <c r="C62" s="15">
        <v>157850</v>
      </c>
      <c r="D62" s="15">
        <f t="shared" si="0"/>
        <v>12230729</v>
      </c>
      <c r="E62" s="15">
        <v>924909</v>
      </c>
      <c r="F62" s="16">
        <v>1110</v>
      </c>
      <c r="G62" s="15">
        <v>119</v>
      </c>
    </row>
    <row r="63" spans="1:7" ht="12">
      <c r="A63" s="22">
        <f t="shared" si="1"/>
        <v>42077</v>
      </c>
      <c r="B63" s="15">
        <v>17948628</v>
      </c>
      <c r="C63" s="15">
        <v>184737.05</v>
      </c>
      <c r="D63" s="15">
        <f t="shared" si="0"/>
        <v>16489190.95</v>
      </c>
      <c r="E63" s="15">
        <v>1274700</v>
      </c>
      <c r="F63" s="16">
        <v>1110</v>
      </c>
      <c r="G63" s="15">
        <v>164</v>
      </c>
    </row>
    <row r="64" spans="1:7" ht="12">
      <c r="A64" s="22">
        <f t="shared" si="1"/>
        <v>42084</v>
      </c>
      <c r="B64" s="15">
        <v>15163785</v>
      </c>
      <c r="C64" s="15">
        <f>178991.85-48080</f>
        <v>130911.85</v>
      </c>
      <c r="D64" s="15">
        <f t="shared" si="0"/>
        <v>13925845.15</v>
      </c>
      <c r="E64" s="15">
        <v>1107028</v>
      </c>
      <c r="F64" s="16">
        <v>1110</v>
      </c>
      <c r="G64" s="15">
        <v>142</v>
      </c>
    </row>
    <row r="65" ht="12">
      <c r="A65" s="22"/>
    </row>
    <row r="66" spans="1:7" ht="12.75" thickBot="1">
      <c r="A66" s="3" t="s">
        <v>8</v>
      </c>
      <c r="B66" s="17">
        <f>SUM(B13:B64)</f>
        <v>844131411.2000002</v>
      </c>
      <c r="C66" s="17">
        <f>SUM(C13:C64)</f>
        <v>8238365.100000001</v>
      </c>
      <c r="D66" s="17">
        <f>SUM(D13:D64)</f>
        <v>777411584.1</v>
      </c>
      <c r="E66" s="17">
        <f>SUM(E13:E64)</f>
        <v>58481462</v>
      </c>
      <c r="F66" s="24">
        <f>SUM(F13:F65)/COUNT(F13:F65)</f>
        <v>1110</v>
      </c>
      <c r="G66" s="17">
        <f>+E66/SUM(F13:F65)/7</f>
        <v>144.7417631917632</v>
      </c>
    </row>
    <row r="67" spans="1:5" s="21" customFormat="1" ht="12.7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monticellocasinoand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5.140625" style="3" customWidth="1"/>
    <col min="2" max="5" width="15.140625" style="15" customWidth="1"/>
    <col min="6" max="6" width="15.140625" style="16" customWidth="1"/>
    <col min="7" max="7" width="15.140625" style="15" customWidth="1"/>
  </cols>
  <sheetData>
    <row r="1" spans="1:11" ht="18">
      <c r="A1" s="35" t="s">
        <v>16</v>
      </c>
      <c r="B1" s="35"/>
      <c r="C1" s="35"/>
      <c r="D1" s="35"/>
      <c r="E1" s="35"/>
      <c r="F1" s="35"/>
      <c r="G1" s="35"/>
      <c r="H1" s="26"/>
      <c r="I1" s="26"/>
      <c r="J1" s="26"/>
      <c r="K1" s="26"/>
    </row>
    <row r="2" spans="1:11" ht="15">
      <c r="A2" s="36" t="s">
        <v>17</v>
      </c>
      <c r="B2" s="36"/>
      <c r="C2" s="36"/>
      <c r="D2" s="36"/>
      <c r="E2" s="36"/>
      <c r="F2" s="36"/>
      <c r="G2" s="36"/>
      <c r="H2" s="27"/>
      <c r="I2" s="27"/>
      <c r="J2" s="27"/>
      <c r="K2" s="27"/>
    </row>
    <row r="3" spans="1:11" s="1" customFormat="1" ht="15">
      <c r="A3" s="36" t="s">
        <v>18</v>
      </c>
      <c r="B3" s="36"/>
      <c r="C3" s="36"/>
      <c r="D3" s="36"/>
      <c r="E3" s="36"/>
      <c r="F3" s="36"/>
      <c r="G3" s="36"/>
      <c r="H3" s="27"/>
      <c r="I3" s="27"/>
      <c r="J3" s="27"/>
      <c r="K3" s="27"/>
    </row>
    <row r="4" spans="1:11" s="1" customFormat="1" ht="15">
      <c r="A4" s="37" t="s">
        <v>27</v>
      </c>
      <c r="B4" s="37"/>
      <c r="C4" s="37"/>
      <c r="D4" s="37"/>
      <c r="E4" s="37"/>
      <c r="F4" s="37"/>
      <c r="G4" s="37"/>
      <c r="H4" s="28"/>
      <c r="I4" s="28"/>
      <c r="J4" s="28"/>
      <c r="K4" s="28"/>
    </row>
    <row r="5" spans="1:11" s="1" customFormat="1" ht="13.5">
      <c r="A5" s="38" t="s">
        <v>20</v>
      </c>
      <c r="B5" s="38"/>
      <c r="C5" s="38"/>
      <c r="D5" s="38"/>
      <c r="E5" s="38"/>
      <c r="F5" s="38"/>
      <c r="G5" s="38"/>
      <c r="H5" s="29"/>
      <c r="I5" s="29"/>
      <c r="J5" s="29"/>
      <c r="K5" s="29"/>
    </row>
    <row r="6" spans="1:11" s="1" customFormat="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1" customFormat="1" ht="12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28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1.25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1.25">
      <c r="A11" s="13" t="s">
        <v>11</v>
      </c>
      <c r="B11" s="8" t="s">
        <v>3</v>
      </c>
      <c r="C11" s="8" t="s">
        <v>26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">
      <c r="A13" s="22">
        <v>41363</v>
      </c>
      <c r="B13" s="15">
        <v>18166170.25</v>
      </c>
      <c r="C13" s="15">
        <v>198754.25</v>
      </c>
      <c r="D13" s="15">
        <f aca="true" t="shared" si="0" ref="D13:D64">+B13-C13-E13</f>
        <v>16687120</v>
      </c>
      <c r="E13" s="15">
        <v>1280296</v>
      </c>
      <c r="F13" s="16">
        <v>1110</v>
      </c>
      <c r="G13" s="15">
        <v>165</v>
      </c>
    </row>
    <row r="14" spans="1:7" ht="12">
      <c r="A14" s="22">
        <f aca="true" t="shared" si="1" ref="A14:A64">+A13+7</f>
        <v>41370</v>
      </c>
      <c r="B14" s="15">
        <v>16857425.25</v>
      </c>
      <c r="C14" s="15">
        <v>178168.25</v>
      </c>
      <c r="D14" s="15">
        <f t="shared" si="0"/>
        <v>15455356</v>
      </c>
      <c r="E14" s="15">
        <v>1223901</v>
      </c>
      <c r="F14" s="16">
        <v>1110</v>
      </c>
      <c r="G14" s="15">
        <v>158</v>
      </c>
    </row>
    <row r="15" spans="1:7" ht="12">
      <c r="A15" s="22">
        <f t="shared" si="1"/>
        <v>41377</v>
      </c>
      <c r="B15" s="15">
        <v>16097876.25</v>
      </c>
      <c r="C15" s="15">
        <v>161226.25</v>
      </c>
      <c r="D15" s="15">
        <f t="shared" si="0"/>
        <v>14785216</v>
      </c>
      <c r="E15" s="15">
        <v>1151434</v>
      </c>
      <c r="F15" s="16">
        <v>1110</v>
      </c>
      <c r="G15" s="15">
        <v>148</v>
      </c>
    </row>
    <row r="16" spans="1:7" ht="12">
      <c r="A16" s="22">
        <f t="shared" si="1"/>
        <v>41384</v>
      </c>
      <c r="B16" s="15">
        <v>17217915.09</v>
      </c>
      <c r="C16" s="15">
        <v>56221.09</v>
      </c>
      <c r="D16" s="15">
        <f t="shared" si="0"/>
        <v>15783851</v>
      </c>
      <c r="E16" s="15">
        <v>1377843</v>
      </c>
      <c r="F16" s="16">
        <v>1110</v>
      </c>
      <c r="G16" s="15">
        <v>177</v>
      </c>
    </row>
    <row r="17" spans="1:7" ht="12">
      <c r="A17" s="22">
        <f t="shared" si="1"/>
        <v>41391</v>
      </c>
      <c r="B17" s="15">
        <v>17444420.86</v>
      </c>
      <c r="C17" s="15">
        <v>166912.86</v>
      </c>
      <c r="D17" s="15">
        <f t="shared" si="0"/>
        <v>16010383</v>
      </c>
      <c r="E17" s="15">
        <v>1267125</v>
      </c>
      <c r="F17" s="16">
        <v>1110</v>
      </c>
      <c r="G17" s="15">
        <v>163</v>
      </c>
    </row>
    <row r="18" spans="1:7" ht="12">
      <c r="A18" s="22">
        <f t="shared" si="1"/>
        <v>41398</v>
      </c>
      <c r="B18" s="15">
        <v>18035622.75</v>
      </c>
      <c r="C18" s="15">
        <v>214252.75</v>
      </c>
      <c r="D18" s="15">
        <f t="shared" si="0"/>
        <v>16634781</v>
      </c>
      <c r="E18" s="15">
        <v>1186589</v>
      </c>
      <c r="F18" s="16">
        <v>1110</v>
      </c>
      <c r="G18" s="15">
        <v>153</v>
      </c>
    </row>
    <row r="19" spans="1:7" ht="12">
      <c r="A19" s="22">
        <f t="shared" si="1"/>
        <v>41405</v>
      </c>
      <c r="B19" s="15">
        <v>16013301</v>
      </c>
      <c r="C19" s="15">
        <v>137992</v>
      </c>
      <c r="D19" s="15">
        <f t="shared" si="0"/>
        <v>14694160</v>
      </c>
      <c r="E19" s="15">
        <v>1181149</v>
      </c>
      <c r="F19" s="16">
        <v>1110</v>
      </c>
      <c r="G19" s="15">
        <v>152</v>
      </c>
    </row>
    <row r="20" spans="1:7" ht="12">
      <c r="A20" s="22">
        <f t="shared" si="1"/>
        <v>41412</v>
      </c>
      <c r="B20" s="15">
        <v>16545177.19</v>
      </c>
      <c r="C20" s="15">
        <v>168329.19</v>
      </c>
      <c r="D20" s="15">
        <f t="shared" si="0"/>
        <v>15145930</v>
      </c>
      <c r="E20" s="15">
        <v>1230918</v>
      </c>
      <c r="F20" s="16">
        <v>1110</v>
      </c>
      <c r="G20" s="15">
        <v>158</v>
      </c>
    </row>
    <row r="21" spans="1:7" ht="12">
      <c r="A21" s="22">
        <f t="shared" si="1"/>
        <v>41419</v>
      </c>
      <c r="B21" s="15">
        <v>19936684.93</v>
      </c>
      <c r="C21" s="15">
        <v>256634.93</v>
      </c>
      <c r="D21" s="15">
        <f t="shared" si="0"/>
        <v>18289189</v>
      </c>
      <c r="E21" s="15">
        <v>1390861</v>
      </c>
      <c r="F21" s="16">
        <v>1110</v>
      </c>
      <c r="G21" s="15">
        <v>179</v>
      </c>
    </row>
    <row r="22" spans="1:7" ht="12">
      <c r="A22" s="22">
        <f t="shared" si="1"/>
        <v>41426</v>
      </c>
      <c r="B22" s="15">
        <v>18289728.52</v>
      </c>
      <c r="C22" s="15">
        <v>100626.52</v>
      </c>
      <c r="D22" s="15">
        <f t="shared" si="0"/>
        <v>16855280</v>
      </c>
      <c r="E22" s="15">
        <v>1333822</v>
      </c>
      <c r="F22" s="16">
        <v>1110</v>
      </c>
      <c r="G22" s="15">
        <v>172</v>
      </c>
    </row>
    <row r="23" spans="1:7" ht="12">
      <c r="A23" s="22">
        <f t="shared" si="1"/>
        <v>41433</v>
      </c>
      <c r="B23" s="15">
        <v>18345629</v>
      </c>
      <c r="C23" s="15">
        <v>218875</v>
      </c>
      <c r="D23" s="15">
        <f t="shared" si="0"/>
        <v>16849227</v>
      </c>
      <c r="E23" s="15">
        <v>1277527</v>
      </c>
      <c r="F23" s="16">
        <v>1110</v>
      </c>
      <c r="G23" s="15">
        <v>164</v>
      </c>
    </row>
    <row r="24" spans="1:7" ht="12">
      <c r="A24" s="22">
        <f t="shared" si="1"/>
        <v>41440</v>
      </c>
      <c r="B24" s="15">
        <v>16720934.69</v>
      </c>
      <c r="C24" s="15">
        <v>175689.69</v>
      </c>
      <c r="D24" s="15">
        <f t="shared" si="0"/>
        <v>15301098</v>
      </c>
      <c r="E24" s="15">
        <v>1244147</v>
      </c>
      <c r="F24" s="16">
        <v>1110</v>
      </c>
      <c r="G24" s="15">
        <v>160</v>
      </c>
    </row>
    <row r="25" spans="1:7" ht="12">
      <c r="A25" s="22">
        <f t="shared" si="1"/>
        <v>41447</v>
      </c>
      <c r="B25" s="15">
        <v>17139948.07</v>
      </c>
      <c r="C25" s="15">
        <v>116384.07</v>
      </c>
      <c r="D25" s="15">
        <f t="shared" si="0"/>
        <v>15745557</v>
      </c>
      <c r="E25" s="15">
        <v>1278007</v>
      </c>
      <c r="F25" s="16">
        <v>1110</v>
      </c>
      <c r="G25" s="15">
        <v>164</v>
      </c>
    </row>
    <row r="26" spans="1:7" ht="12">
      <c r="A26" s="22">
        <f t="shared" si="1"/>
        <v>41454</v>
      </c>
      <c r="B26" s="15">
        <v>16671818.25</v>
      </c>
      <c r="C26" s="15">
        <v>162843.25</v>
      </c>
      <c r="D26" s="15">
        <f t="shared" si="0"/>
        <v>15286398</v>
      </c>
      <c r="E26" s="15">
        <v>1222577</v>
      </c>
      <c r="F26" s="16">
        <v>1110</v>
      </c>
      <c r="G26" s="15">
        <v>157</v>
      </c>
    </row>
    <row r="27" spans="1:7" ht="12">
      <c r="A27" s="22">
        <f t="shared" si="1"/>
        <v>41461</v>
      </c>
      <c r="B27" s="15">
        <v>21515803.58</v>
      </c>
      <c r="C27" s="15">
        <v>239539.58</v>
      </c>
      <c r="D27" s="15">
        <f t="shared" si="0"/>
        <v>19725062</v>
      </c>
      <c r="E27" s="15">
        <v>1551202</v>
      </c>
      <c r="F27" s="16">
        <v>1110</v>
      </c>
      <c r="G27" s="15">
        <v>200</v>
      </c>
    </row>
    <row r="28" spans="1:7" ht="12">
      <c r="A28" s="22">
        <f t="shared" si="1"/>
        <v>41468</v>
      </c>
      <c r="B28" s="15">
        <v>18047117.38</v>
      </c>
      <c r="C28" s="15">
        <v>205740.38</v>
      </c>
      <c r="D28" s="15">
        <f t="shared" si="0"/>
        <v>16602791</v>
      </c>
      <c r="E28" s="15">
        <v>1238586</v>
      </c>
      <c r="F28" s="16">
        <v>1110</v>
      </c>
      <c r="G28" s="15">
        <v>159</v>
      </c>
    </row>
    <row r="29" spans="1:7" ht="12">
      <c r="A29" s="22">
        <f t="shared" si="1"/>
        <v>41475</v>
      </c>
      <c r="B29" s="15">
        <v>17842779.96</v>
      </c>
      <c r="C29" s="15">
        <v>201892.96</v>
      </c>
      <c r="D29" s="15">
        <f t="shared" si="0"/>
        <v>16388796</v>
      </c>
      <c r="E29" s="15">
        <v>1252091</v>
      </c>
      <c r="F29" s="16">
        <v>1110</v>
      </c>
      <c r="G29" s="15">
        <v>161</v>
      </c>
    </row>
    <row r="30" spans="1:7" ht="12">
      <c r="A30" s="22">
        <f t="shared" si="1"/>
        <v>41482</v>
      </c>
      <c r="B30" s="15">
        <v>19312306.07</v>
      </c>
      <c r="C30" s="15">
        <v>190280.07</v>
      </c>
      <c r="D30" s="15">
        <f t="shared" si="0"/>
        <v>17727435</v>
      </c>
      <c r="E30" s="15">
        <v>1394591</v>
      </c>
      <c r="F30" s="16">
        <v>1110</v>
      </c>
      <c r="G30" s="15">
        <v>179</v>
      </c>
    </row>
    <row r="31" spans="1:7" ht="12">
      <c r="A31" s="22">
        <f t="shared" si="1"/>
        <v>41489</v>
      </c>
      <c r="B31" s="15">
        <v>20168664.1</v>
      </c>
      <c r="C31" s="15">
        <v>167635.1</v>
      </c>
      <c r="D31" s="15">
        <f t="shared" si="0"/>
        <v>18517856</v>
      </c>
      <c r="E31" s="15">
        <v>1483173</v>
      </c>
      <c r="F31" s="16">
        <v>1110</v>
      </c>
      <c r="G31" s="15">
        <v>191</v>
      </c>
    </row>
    <row r="32" spans="1:7" ht="12">
      <c r="A32" s="22">
        <f t="shared" si="1"/>
        <v>41496</v>
      </c>
      <c r="B32" s="15">
        <v>18245561.78</v>
      </c>
      <c r="C32" s="15">
        <v>209702.78</v>
      </c>
      <c r="D32" s="15">
        <f t="shared" si="0"/>
        <v>16746182</v>
      </c>
      <c r="E32" s="15">
        <v>1289677</v>
      </c>
      <c r="F32" s="16">
        <v>1110</v>
      </c>
      <c r="G32" s="15">
        <v>166</v>
      </c>
    </row>
    <row r="33" spans="1:7" ht="12">
      <c r="A33" s="22">
        <f t="shared" si="1"/>
        <v>41503</v>
      </c>
      <c r="B33" s="15">
        <v>19121699.57</v>
      </c>
      <c r="C33" s="15">
        <v>224355.57</v>
      </c>
      <c r="D33" s="15">
        <f t="shared" si="0"/>
        <v>17692090</v>
      </c>
      <c r="E33" s="15">
        <v>1205254</v>
      </c>
      <c r="F33" s="16">
        <v>1110</v>
      </c>
      <c r="G33" s="15">
        <v>155</v>
      </c>
    </row>
    <row r="34" spans="1:7" ht="12">
      <c r="A34" s="22">
        <f t="shared" si="1"/>
        <v>41510</v>
      </c>
      <c r="B34" s="15">
        <v>17189692.03</v>
      </c>
      <c r="C34" s="15">
        <v>159321.03</v>
      </c>
      <c r="D34" s="15">
        <f t="shared" si="0"/>
        <v>15845761</v>
      </c>
      <c r="E34" s="15">
        <v>1184610</v>
      </c>
      <c r="F34" s="16">
        <v>1110</v>
      </c>
      <c r="G34" s="15">
        <v>152</v>
      </c>
    </row>
    <row r="35" spans="1:7" ht="12">
      <c r="A35" s="22">
        <f t="shared" si="1"/>
        <v>41517</v>
      </c>
      <c r="B35" s="15">
        <v>19781277.46</v>
      </c>
      <c r="C35" s="15">
        <v>160280.46</v>
      </c>
      <c r="D35" s="15">
        <f t="shared" si="0"/>
        <v>18164999</v>
      </c>
      <c r="E35" s="15">
        <v>1455998</v>
      </c>
      <c r="F35" s="16">
        <v>1110</v>
      </c>
      <c r="G35" s="15">
        <v>187</v>
      </c>
    </row>
    <row r="36" spans="1:7" ht="12">
      <c r="A36" s="22">
        <f t="shared" si="1"/>
        <v>41524</v>
      </c>
      <c r="B36" s="15">
        <v>18930652.08</v>
      </c>
      <c r="C36" s="15">
        <v>165860.08</v>
      </c>
      <c r="D36" s="15">
        <f t="shared" si="0"/>
        <v>17397506</v>
      </c>
      <c r="E36" s="15">
        <v>1367286</v>
      </c>
      <c r="F36" s="16">
        <v>1110</v>
      </c>
      <c r="G36" s="15">
        <v>176</v>
      </c>
    </row>
    <row r="37" spans="1:7" ht="12">
      <c r="A37" s="22">
        <f t="shared" si="1"/>
        <v>41531</v>
      </c>
      <c r="B37" s="15">
        <v>16597713</v>
      </c>
      <c r="C37" s="15">
        <f>194438-20</f>
        <v>194418</v>
      </c>
      <c r="D37" s="15">
        <f t="shared" si="0"/>
        <v>15266416</v>
      </c>
      <c r="E37" s="15">
        <v>1136879</v>
      </c>
      <c r="F37" s="16">
        <v>1110</v>
      </c>
      <c r="G37" s="15">
        <v>146</v>
      </c>
    </row>
    <row r="38" spans="1:7" ht="12">
      <c r="A38" s="22">
        <f t="shared" si="1"/>
        <v>41538</v>
      </c>
      <c r="B38" s="15">
        <v>16960842.61</v>
      </c>
      <c r="C38" s="15">
        <v>217586.61</v>
      </c>
      <c r="D38" s="15">
        <f t="shared" si="0"/>
        <v>15576722</v>
      </c>
      <c r="E38" s="15">
        <v>1166534</v>
      </c>
      <c r="F38" s="16">
        <v>1110</v>
      </c>
      <c r="G38" s="15">
        <v>150</v>
      </c>
    </row>
    <row r="39" spans="1:7" ht="12">
      <c r="A39" s="22">
        <f t="shared" si="1"/>
        <v>41545</v>
      </c>
      <c r="B39" s="15">
        <v>15860454.65</v>
      </c>
      <c r="C39" s="15">
        <f>206905.65-82393</f>
        <v>124512.65</v>
      </c>
      <c r="D39" s="15">
        <f t="shared" si="0"/>
        <v>14528154</v>
      </c>
      <c r="E39" s="15">
        <v>1207788</v>
      </c>
      <c r="F39" s="16">
        <v>1110</v>
      </c>
      <c r="G39" s="15">
        <v>155</v>
      </c>
    </row>
    <row r="40" spans="1:7" ht="12">
      <c r="A40" s="22">
        <f t="shared" si="1"/>
        <v>41552</v>
      </c>
      <c r="B40" s="15">
        <v>16461666.44</v>
      </c>
      <c r="C40" s="15">
        <v>188129.44</v>
      </c>
      <c r="D40" s="15">
        <f t="shared" si="0"/>
        <v>15111445</v>
      </c>
      <c r="E40" s="15">
        <v>1162092</v>
      </c>
      <c r="F40" s="16">
        <v>1110</v>
      </c>
      <c r="G40" s="15">
        <v>150</v>
      </c>
    </row>
    <row r="41" spans="1:7" ht="12">
      <c r="A41" s="22">
        <f t="shared" si="1"/>
        <v>41559</v>
      </c>
      <c r="B41" s="15">
        <v>15409934.29</v>
      </c>
      <c r="C41" s="15">
        <v>191673.29</v>
      </c>
      <c r="D41" s="15">
        <f t="shared" si="0"/>
        <v>14177083</v>
      </c>
      <c r="E41" s="15">
        <v>1041178</v>
      </c>
      <c r="F41" s="16">
        <v>1110</v>
      </c>
      <c r="G41" s="15">
        <v>134</v>
      </c>
    </row>
    <row r="42" spans="1:7" ht="12">
      <c r="A42" s="22">
        <f t="shared" si="1"/>
        <v>41566</v>
      </c>
      <c r="B42" s="15">
        <v>16651930.9</v>
      </c>
      <c r="C42" s="15">
        <v>202196.9</v>
      </c>
      <c r="D42" s="15">
        <f t="shared" si="0"/>
        <v>15269285</v>
      </c>
      <c r="E42" s="15">
        <v>1180449</v>
      </c>
      <c r="F42" s="16">
        <v>1110</v>
      </c>
      <c r="G42" s="15">
        <v>152</v>
      </c>
    </row>
    <row r="43" spans="1:7" ht="12">
      <c r="A43" s="22">
        <f t="shared" si="1"/>
        <v>41573</v>
      </c>
      <c r="B43" s="15">
        <v>15467336.94</v>
      </c>
      <c r="C43" s="15">
        <f>156240.94-1360626</f>
        <v>-1204385.06</v>
      </c>
      <c r="D43" s="15">
        <f t="shared" si="0"/>
        <v>14191911</v>
      </c>
      <c r="E43" s="15">
        <v>2479811</v>
      </c>
      <c r="F43" s="16">
        <v>1110</v>
      </c>
      <c r="G43" s="15">
        <v>319</v>
      </c>
    </row>
    <row r="44" spans="1:7" ht="12">
      <c r="A44" s="22">
        <f t="shared" si="1"/>
        <v>41580</v>
      </c>
      <c r="B44" s="15">
        <v>15241312.81</v>
      </c>
      <c r="C44" s="15">
        <v>164387.81</v>
      </c>
      <c r="D44" s="15">
        <f t="shared" si="0"/>
        <v>14041085</v>
      </c>
      <c r="E44" s="15">
        <v>1035840</v>
      </c>
      <c r="F44" s="16">
        <f>7770/7</f>
        <v>1110</v>
      </c>
      <c r="G44" s="15">
        <v>133</v>
      </c>
    </row>
    <row r="45" spans="1:7" ht="12">
      <c r="A45" s="22">
        <f t="shared" si="1"/>
        <v>41587</v>
      </c>
      <c r="B45" s="15">
        <v>14592677.07</v>
      </c>
      <c r="C45" s="15">
        <v>167471.07</v>
      </c>
      <c r="D45" s="15">
        <f t="shared" si="0"/>
        <v>13401508</v>
      </c>
      <c r="E45" s="15">
        <v>1023698</v>
      </c>
      <c r="F45" s="16">
        <f>7770/7</f>
        <v>1110</v>
      </c>
      <c r="G45" s="15">
        <v>132</v>
      </c>
    </row>
    <row r="46" spans="1:7" ht="12">
      <c r="A46" s="22">
        <f t="shared" si="1"/>
        <v>41594</v>
      </c>
      <c r="B46" s="15">
        <v>16018359.9</v>
      </c>
      <c r="C46" s="15">
        <v>184916.9</v>
      </c>
      <c r="D46" s="15">
        <f t="shared" si="0"/>
        <v>14764934</v>
      </c>
      <c r="E46" s="15">
        <v>1068509</v>
      </c>
      <c r="F46" s="16">
        <v>1110</v>
      </c>
      <c r="G46" s="15">
        <v>138</v>
      </c>
    </row>
    <row r="47" spans="1:7" ht="12">
      <c r="A47" s="22">
        <f t="shared" si="1"/>
        <v>41601</v>
      </c>
      <c r="B47" s="15">
        <v>14249445.94</v>
      </c>
      <c r="C47" s="15">
        <v>162257.94</v>
      </c>
      <c r="D47" s="15">
        <f t="shared" si="0"/>
        <v>13098453</v>
      </c>
      <c r="E47" s="15">
        <v>988735</v>
      </c>
      <c r="F47" s="16">
        <v>1110</v>
      </c>
      <c r="G47" s="15">
        <v>127</v>
      </c>
    </row>
    <row r="48" spans="1:7" ht="12">
      <c r="A48" s="22">
        <f t="shared" si="1"/>
        <v>41608</v>
      </c>
      <c r="B48" s="15">
        <v>15539036.06</v>
      </c>
      <c r="C48" s="15">
        <f>236442.06-109170</f>
        <v>127272.06</v>
      </c>
      <c r="D48" s="15">
        <f t="shared" si="0"/>
        <v>14246974</v>
      </c>
      <c r="E48" s="15">
        <v>1164790</v>
      </c>
      <c r="F48" s="16">
        <v>1110</v>
      </c>
      <c r="G48" s="15">
        <v>150</v>
      </c>
    </row>
    <row r="49" spans="1:7" ht="12">
      <c r="A49" s="22">
        <f t="shared" si="1"/>
        <v>41615</v>
      </c>
      <c r="B49" s="15">
        <v>14210511.15</v>
      </c>
      <c r="C49" s="15">
        <v>185201.15</v>
      </c>
      <c r="D49" s="15">
        <f t="shared" si="0"/>
        <v>13115431</v>
      </c>
      <c r="E49" s="15">
        <v>909879</v>
      </c>
      <c r="F49" s="16">
        <v>1110</v>
      </c>
      <c r="G49" s="15">
        <v>117</v>
      </c>
    </row>
    <row r="50" spans="1:7" ht="12">
      <c r="A50" s="22">
        <f t="shared" si="1"/>
        <v>41622</v>
      </c>
      <c r="B50" s="15">
        <v>8909326.94</v>
      </c>
      <c r="C50" s="15">
        <v>141482.94</v>
      </c>
      <c r="D50" s="15">
        <f t="shared" si="0"/>
        <v>8177299</v>
      </c>
      <c r="E50" s="15">
        <v>590545</v>
      </c>
      <c r="F50" s="16">
        <v>1110</v>
      </c>
      <c r="G50" s="15">
        <v>76</v>
      </c>
    </row>
    <row r="51" spans="1:7" ht="12">
      <c r="A51" s="22">
        <f t="shared" si="1"/>
        <v>41629</v>
      </c>
      <c r="B51" s="15">
        <v>12314763.6</v>
      </c>
      <c r="C51" s="15">
        <f>155480.6-63841</f>
        <v>91639.6</v>
      </c>
      <c r="D51" s="15">
        <f t="shared" si="0"/>
        <v>11309932</v>
      </c>
      <c r="E51" s="15">
        <v>913192</v>
      </c>
      <c r="F51" s="16">
        <v>1110</v>
      </c>
      <c r="G51" s="15">
        <v>118</v>
      </c>
    </row>
    <row r="52" spans="1:7" ht="12">
      <c r="A52" s="22">
        <f t="shared" si="1"/>
        <v>41636</v>
      </c>
      <c r="B52" s="15">
        <v>16948023.76</v>
      </c>
      <c r="C52" s="15">
        <v>254685.76</v>
      </c>
      <c r="D52" s="15">
        <f t="shared" si="0"/>
        <v>15667445.000000002</v>
      </c>
      <c r="E52" s="15">
        <v>1025893</v>
      </c>
      <c r="F52" s="16">
        <v>1110</v>
      </c>
      <c r="G52" s="15">
        <v>132</v>
      </c>
    </row>
    <row r="53" spans="1:7" ht="12">
      <c r="A53" s="22">
        <f t="shared" si="1"/>
        <v>41643</v>
      </c>
      <c r="B53" s="15">
        <v>14487378.08</v>
      </c>
      <c r="C53" s="15">
        <v>190873.08</v>
      </c>
      <c r="D53" s="15">
        <f t="shared" si="0"/>
        <v>13335805</v>
      </c>
      <c r="E53" s="15">
        <v>960700</v>
      </c>
      <c r="F53" s="16">
        <v>1110</v>
      </c>
      <c r="G53" s="15">
        <v>124</v>
      </c>
    </row>
    <row r="54" spans="1:7" ht="12">
      <c r="A54" s="22">
        <f t="shared" si="1"/>
        <v>41650</v>
      </c>
      <c r="B54" s="15">
        <v>12016434.2</v>
      </c>
      <c r="C54" s="15">
        <v>135057.2</v>
      </c>
      <c r="D54" s="15">
        <f t="shared" si="0"/>
        <v>11093073</v>
      </c>
      <c r="E54" s="15">
        <v>788304</v>
      </c>
      <c r="F54" s="16">
        <v>1110</v>
      </c>
      <c r="G54" s="15">
        <v>101</v>
      </c>
    </row>
    <row r="55" spans="1:7" ht="12">
      <c r="A55" s="22">
        <f t="shared" si="1"/>
        <v>41657</v>
      </c>
      <c r="B55" s="15">
        <v>14878880.45</v>
      </c>
      <c r="C55" s="15">
        <v>198835.45</v>
      </c>
      <c r="D55" s="15">
        <f t="shared" si="0"/>
        <v>13685172</v>
      </c>
      <c r="E55" s="15">
        <v>994873</v>
      </c>
      <c r="F55" s="16">
        <v>1110</v>
      </c>
      <c r="G55" s="15">
        <v>128</v>
      </c>
    </row>
    <row r="56" spans="1:7" ht="12">
      <c r="A56" s="22">
        <f t="shared" si="1"/>
        <v>41664</v>
      </c>
      <c r="B56" s="15">
        <v>11580001.25</v>
      </c>
      <c r="C56" s="15">
        <f>183725.25-46530</f>
        <v>137195.25</v>
      </c>
      <c r="D56" s="15">
        <f t="shared" si="0"/>
        <v>10668883</v>
      </c>
      <c r="E56" s="15">
        <v>773923</v>
      </c>
      <c r="F56" s="16">
        <v>1110</v>
      </c>
      <c r="G56" s="15">
        <v>100</v>
      </c>
    </row>
    <row r="57" spans="1:7" ht="12">
      <c r="A57" s="22">
        <f t="shared" si="1"/>
        <v>41671</v>
      </c>
      <c r="B57" s="15">
        <v>15829017.4</v>
      </c>
      <c r="C57" s="15">
        <f>242700.4-16045</f>
        <v>226655.4</v>
      </c>
      <c r="D57" s="15">
        <f t="shared" si="0"/>
        <v>14609965</v>
      </c>
      <c r="E57" s="15">
        <v>992397</v>
      </c>
      <c r="F57" s="16">
        <v>1110</v>
      </c>
      <c r="G57" s="15">
        <v>128</v>
      </c>
    </row>
    <row r="58" spans="1:7" ht="12">
      <c r="A58" s="22">
        <f t="shared" si="1"/>
        <v>41678</v>
      </c>
      <c r="B58" s="15">
        <v>13530372.8</v>
      </c>
      <c r="C58" s="15">
        <v>164137.8</v>
      </c>
      <c r="D58" s="15">
        <f t="shared" si="0"/>
        <v>12447126</v>
      </c>
      <c r="E58" s="15">
        <v>919109</v>
      </c>
      <c r="F58" s="16">
        <v>1110</v>
      </c>
      <c r="G58" s="15">
        <v>118</v>
      </c>
    </row>
    <row r="59" spans="1:7" ht="12">
      <c r="A59" s="22">
        <f t="shared" si="1"/>
        <v>41685</v>
      </c>
      <c r="B59" s="15">
        <v>10371307.75</v>
      </c>
      <c r="C59" s="15">
        <v>111787.75</v>
      </c>
      <c r="D59" s="15">
        <f t="shared" si="0"/>
        <v>9564851</v>
      </c>
      <c r="E59" s="15">
        <v>694669</v>
      </c>
      <c r="F59" s="16">
        <v>1110</v>
      </c>
      <c r="G59" s="15">
        <v>89</v>
      </c>
    </row>
    <row r="60" spans="1:7" ht="12">
      <c r="A60" s="22">
        <f t="shared" si="1"/>
        <v>41692</v>
      </c>
      <c r="B60" s="15">
        <v>15990537.49</v>
      </c>
      <c r="C60" s="15">
        <v>183398.49</v>
      </c>
      <c r="D60" s="15">
        <f t="shared" si="0"/>
        <v>14650210</v>
      </c>
      <c r="E60" s="15">
        <v>1156929</v>
      </c>
      <c r="F60" s="16">
        <v>1110</v>
      </c>
      <c r="G60" s="15">
        <v>149</v>
      </c>
    </row>
    <row r="61" spans="1:7" ht="12">
      <c r="A61" s="22">
        <f t="shared" si="1"/>
        <v>41699</v>
      </c>
      <c r="B61" s="15">
        <v>18745676.01</v>
      </c>
      <c r="C61" s="15">
        <f>247067.01-60635</f>
        <v>186432.01</v>
      </c>
      <c r="D61" s="15">
        <f t="shared" si="0"/>
        <v>17246001</v>
      </c>
      <c r="E61" s="15">
        <v>1313243</v>
      </c>
      <c r="F61" s="16">
        <v>1110</v>
      </c>
      <c r="G61" s="15">
        <v>169</v>
      </c>
    </row>
    <row r="62" spans="1:7" ht="12">
      <c r="A62" s="22">
        <f t="shared" si="1"/>
        <v>41706</v>
      </c>
      <c r="B62" s="15">
        <v>16622666.87</v>
      </c>
      <c r="C62" s="15">
        <v>179562.87</v>
      </c>
      <c r="D62" s="15">
        <f t="shared" si="0"/>
        <v>15291560</v>
      </c>
      <c r="E62" s="15">
        <v>1151544</v>
      </c>
      <c r="F62" s="16">
        <v>1110</v>
      </c>
      <c r="G62" s="15">
        <v>148</v>
      </c>
    </row>
    <row r="63" spans="1:7" ht="12">
      <c r="A63" s="22">
        <f t="shared" si="1"/>
        <v>41713</v>
      </c>
      <c r="B63" s="15">
        <v>17222049.28</v>
      </c>
      <c r="C63" s="15">
        <v>202782.28</v>
      </c>
      <c r="D63" s="15">
        <f t="shared" si="0"/>
        <v>15862404</v>
      </c>
      <c r="E63" s="15">
        <v>1156863</v>
      </c>
      <c r="F63" s="16">
        <v>1110</v>
      </c>
      <c r="G63" s="15">
        <v>149</v>
      </c>
    </row>
    <row r="64" spans="1:7" ht="12">
      <c r="A64" s="22">
        <f t="shared" si="1"/>
        <v>41720</v>
      </c>
      <c r="B64" s="15">
        <v>16991460.23</v>
      </c>
      <c r="C64" s="15">
        <v>211828.23</v>
      </c>
      <c r="D64" s="15">
        <f t="shared" si="0"/>
        <v>15604157</v>
      </c>
      <c r="E64" s="15">
        <v>1175475</v>
      </c>
      <c r="F64" s="16">
        <v>1110</v>
      </c>
      <c r="G64" s="15">
        <v>151</v>
      </c>
    </row>
    <row r="65" ht="12">
      <c r="A65" s="22"/>
    </row>
    <row r="66" spans="1:7" ht="12.75" thickBot="1">
      <c r="A66" s="3" t="s">
        <v>8</v>
      </c>
      <c r="B66" s="17">
        <f>SUM(B13:B64)</f>
        <v>853337323.9800001</v>
      </c>
      <c r="C66" s="17">
        <f>SUM(C13:C64)</f>
        <v>7759510.980000002</v>
      </c>
      <c r="D66" s="17">
        <f>SUM(D13:D64)</f>
        <v>784335308</v>
      </c>
      <c r="E66" s="17">
        <f>SUM(E13:E64)</f>
        <v>61242505</v>
      </c>
      <c r="F66" s="24">
        <f>SUM(F13:F65)/COUNT(F13:F65)</f>
        <v>1110</v>
      </c>
      <c r="G66" s="17">
        <f>+E66/SUM(F13:F65)/7</f>
        <v>151.57535145035146</v>
      </c>
    </row>
    <row r="67" spans="1:5" s="21" customFormat="1" ht="12.7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monticellocasinoand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5.140625" style="3" customWidth="1"/>
    <col min="2" max="5" width="15.140625" style="15" customWidth="1"/>
    <col min="6" max="6" width="15.140625" style="16" customWidth="1"/>
    <col min="7" max="7" width="15.140625" style="15" customWidth="1"/>
  </cols>
  <sheetData>
    <row r="1" spans="1:11" ht="18">
      <c r="A1" s="35" t="s">
        <v>16</v>
      </c>
      <c r="B1" s="35"/>
      <c r="C1" s="35"/>
      <c r="D1" s="35"/>
      <c r="E1" s="35"/>
      <c r="F1" s="35"/>
      <c r="G1" s="35"/>
      <c r="H1" s="26"/>
      <c r="I1" s="26"/>
      <c r="J1" s="26"/>
      <c r="K1" s="26"/>
    </row>
    <row r="2" spans="1:11" ht="15">
      <c r="A2" s="36" t="s">
        <v>17</v>
      </c>
      <c r="B2" s="36"/>
      <c r="C2" s="36"/>
      <c r="D2" s="36"/>
      <c r="E2" s="36"/>
      <c r="F2" s="36"/>
      <c r="G2" s="36"/>
      <c r="H2" s="27"/>
      <c r="I2" s="27"/>
      <c r="J2" s="27"/>
      <c r="K2" s="27"/>
    </row>
    <row r="3" spans="1:11" s="1" customFormat="1" ht="15">
      <c r="A3" s="36" t="s">
        <v>18</v>
      </c>
      <c r="B3" s="36"/>
      <c r="C3" s="36"/>
      <c r="D3" s="36"/>
      <c r="E3" s="36"/>
      <c r="F3" s="36"/>
      <c r="G3" s="36"/>
      <c r="H3" s="27"/>
      <c r="I3" s="27"/>
      <c r="J3" s="27"/>
      <c r="K3" s="27"/>
    </row>
    <row r="4" spans="1:11" s="1" customFormat="1" ht="15">
      <c r="A4" s="37" t="s">
        <v>27</v>
      </c>
      <c r="B4" s="37"/>
      <c r="C4" s="37"/>
      <c r="D4" s="37"/>
      <c r="E4" s="37"/>
      <c r="F4" s="37"/>
      <c r="G4" s="37"/>
      <c r="H4" s="28"/>
      <c r="I4" s="28"/>
      <c r="J4" s="28"/>
      <c r="K4" s="28"/>
    </row>
    <row r="5" spans="1:11" s="1" customFormat="1" ht="13.5">
      <c r="A5" s="38" t="s">
        <v>20</v>
      </c>
      <c r="B5" s="38"/>
      <c r="C5" s="38"/>
      <c r="D5" s="38"/>
      <c r="E5" s="38"/>
      <c r="F5" s="38"/>
      <c r="G5" s="38"/>
      <c r="H5" s="29"/>
      <c r="I5" s="29"/>
      <c r="J5" s="29"/>
      <c r="K5" s="29"/>
    </row>
    <row r="6" spans="1:11" s="1" customFormat="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7" s="1" customFormat="1" ht="12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25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1.25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1.25">
      <c r="A11" s="13" t="s">
        <v>11</v>
      </c>
      <c r="B11" s="8" t="s">
        <v>3</v>
      </c>
      <c r="C11" s="8" t="s">
        <v>26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">
      <c r="A13" s="22">
        <v>40999</v>
      </c>
      <c r="B13" s="15">
        <v>16155258.9</v>
      </c>
      <c r="C13" s="15">
        <v>59836.9</v>
      </c>
      <c r="D13" s="15">
        <f aca="true" t="shared" si="0" ref="D13:D64">+B13-C13-E13</f>
        <v>14938191</v>
      </c>
      <c r="E13" s="15">
        <v>1157231</v>
      </c>
      <c r="F13" s="16">
        <v>1110</v>
      </c>
      <c r="G13" s="15">
        <v>149</v>
      </c>
    </row>
    <row r="14" spans="1:7" ht="12">
      <c r="A14" s="22">
        <f aca="true" t="shared" si="1" ref="A14:A64">+A13+7</f>
        <v>41006</v>
      </c>
      <c r="B14" s="15">
        <v>18179572.71</v>
      </c>
      <c r="C14" s="15">
        <v>135815.71</v>
      </c>
      <c r="D14" s="15">
        <f t="shared" si="0"/>
        <v>16701621</v>
      </c>
      <c r="E14" s="15">
        <v>1342136</v>
      </c>
      <c r="F14" s="16">
        <v>1110</v>
      </c>
      <c r="G14" s="15">
        <v>173</v>
      </c>
    </row>
    <row r="15" spans="1:7" ht="12">
      <c r="A15" s="22">
        <f t="shared" si="1"/>
        <v>41013</v>
      </c>
      <c r="B15" s="15">
        <v>17367104.65</v>
      </c>
      <c r="C15" s="15">
        <v>112807.65</v>
      </c>
      <c r="D15" s="15">
        <f t="shared" si="0"/>
        <v>15997272</v>
      </c>
      <c r="E15" s="15">
        <v>1257025</v>
      </c>
      <c r="F15" s="16">
        <v>1110</v>
      </c>
      <c r="G15" s="15">
        <v>162</v>
      </c>
    </row>
    <row r="16" spans="1:7" ht="12">
      <c r="A16" s="22">
        <f t="shared" si="1"/>
        <v>41020</v>
      </c>
      <c r="B16" s="15">
        <v>17114611.34</v>
      </c>
      <c r="C16" s="15">
        <v>135141.34</v>
      </c>
      <c r="D16" s="15">
        <f t="shared" si="0"/>
        <v>15829251</v>
      </c>
      <c r="E16" s="15">
        <v>1150219</v>
      </c>
      <c r="F16" s="16">
        <v>1110</v>
      </c>
      <c r="G16" s="15">
        <v>148</v>
      </c>
    </row>
    <row r="17" spans="1:7" ht="12">
      <c r="A17" s="22">
        <f t="shared" si="1"/>
        <v>41027</v>
      </c>
      <c r="B17" s="15">
        <v>16480777.09</v>
      </c>
      <c r="C17" s="15">
        <v>-403319.91</v>
      </c>
      <c r="D17" s="15">
        <f t="shared" si="0"/>
        <v>15276731</v>
      </c>
      <c r="E17" s="15">
        <v>1607366</v>
      </c>
      <c r="F17" s="16">
        <v>1110</v>
      </c>
      <c r="G17" s="15">
        <v>207</v>
      </c>
    </row>
    <row r="18" spans="1:7" ht="12">
      <c r="A18" s="22">
        <f t="shared" si="1"/>
        <v>41034</v>
      </c>
      <c r="B18" s="15">
        <v>19059568.1</v>
      </c>
      <c r="C18" s="15">
        <v>127443.1</v>
      </c>
      <c r="D18" s="15">
        <f t="shared" si="0"/>
        <v>17555046</v>
      </c>
      <c r="E18" s="15">
        <v>1377079</v>
      </c>
      <c r="F18" s="16">
        <v>1110</v>
      </c>
      <c r="G18" s="15">
        <v>177</v>
      </c>
    </row>
    <row r="19" spans="1:7" ht="12">
      <c r="A19" s="22">
        <f t="shared" si="1"/>
        <v>41041</v>
      </c>
      <c r="B19" s="15">
        <v>16015420.3</v>
      </c>
      <c r="C19" s="15">
        <v>110363.3</v>
      </c>
      <c r="D19" s="15">
        <f t="shared" si="0"/>
        <v>14809995</v>
      </c>
      <c r="E19" s="15">
        <v>1095062</v>
      </c>
      <c r="F19" s="16">
        <v>1110</v>
      </c>
      <c r="G19" s="15">
        <v>141</v>
      </c>
    </row>
    <row r="20" spans="1:7" ht="12">
      <c r="A20" s="22">
        <f t="shared" si="1"/>
        <v>41048</v>
      </c>
      <c r="B20" s="15">
        <v>16593762.8</v>
      </c>
      <c r="C20" s="15">
        <v>61891.8</v>
      </c>
      <c r="D20" s="15">
        <f t="shared" si="0"/>
        <v>15273004</v>
      </c>
      <c r="E20" s="15">
        <v>1258867</v>
      </c>
      <c r="F20" s="16">
        <v>1110</v>
      </c>
      <c r="G20" s="15">
        <v>162</v>
      </c>
    </row>
    <row r="21" spans="1:7" ht="12">
      <c r="A21" s="22">
        <f t="shared" si="1"/>
        <v>41055</v>
      </c>
      <c r="B21" s="15">
        <v>19611914.75</v>
      </c>
      <c r="C21" s="15">
        <v>221292.75</v>
      </c>
      <c r="D21" s="15">
        <f t="shared" si="0"/>
        <v>18018650</v>
      </c>
      <c r="E21" s="15">
        <v>1371972</v>
      </c>
      <c r="F21" s="16">
        <v>1110</v>
      </c>
      <c r="G21" s="15">
        <v>177</v>
      </c>
    </row>
    <row r="22" spans="1:7" ht="12">
      <c r="A22" s="22">
        <f t="shared" si="1"/>
        <v>41062</v>
      </c>
      <c r="B22" s="15">
        <v>18596138.76</v>
      </c>
      <c r="C22" s="15">
        <v>146146.76</v>
      </c>
      <c r="D22" s="15">
        <f t="shared" si="0"/>
        <v>17120699</v>
      </c>
      <c r="E22" s="15">
        <v>1329293</v>
      </c>
      <c r="F22" s="16">
        <v>1110</v>
      </c>
      <c r="G22" s="15">
        <v>171</v>
      </c>
    </row>
    <row r="23" spans="1:7" ht="12">
      <c r="A23" s="22">
        <f t="shared" si="1"/>
        <v>41069</v>
      </c>
      <c r="B23" s="15">
        <v>15695036.2</v>
      </c>
      <c r="C23" s="15">
        <v>105264.2</v>
      </c>
      <c r="D23" s="15">
        <f t="shared" si="0"/>
        <v>14543328</v>
      </c>
      <c r="E23" s="15">
        <v>1046444</v>
      </c>
      <c r="F23" s="16">
        <v>1110</v>
      </c>
      <c r="G23" s="15">
        <v>135</v>
      </c>
    </row>
    <row r="24" spans="1:7" ht="12">
      <c r="A24" s="22">
        <f t="shared" si="1"/>
        <v>41076</v>
      </c>
      <c r="B24" s="15">
        <v>19778407.25</v>
      </c>
      <c r="C24" s="15">
        <v>264028.25</v>
      </c>
      <c r="D24" s="15">
        <f t="shared" si="0"/>
        <v>18245048</v>
      </c>
      <c r="E24" s="15">
        <v>1269331</v>
      </c>
      <c r="F24" s="16">
        <v>1110</v>
      </c>
      <c r="G24" s="15">
        <v>163</v>
      </c>
    </row>
    <row r="25" spans="1:7" ht="12">
      <c r="A25" s="22">
        <f t="shared" si="1"/>
        <v>41083</v>
      </c>
      <c r="B25" s="15">
        <v>17440471.82</v>
      </c>
      <c r="C25" s="15">
        <v>170896.82</v>
      </c>
      <c r="D25" s="15">
        <f t="shared" si="0"/>
        <v>16120155</v>
      </c>
      <c r="E25" s="15">
        <v>1149420</v>
      </c>
      <c r="F25" s="16">
        <v>1110</v>
      </c>
      <c r="G25" s="15">
        <v>148</v>
      </c>
    </row>
    <row r="26" spans="1:7" ht="12">
      <c r="A26" s="22">
        <f t="shared" si="1"/>
        <v>41090</v>
      </c>
      <c r="B26" s="15">
        <v>19348909.8</v>
      </c>
      <c r="C26" s="15">
        <v>132954.8</v>
      </c>
      <c r="D26" s="15">
        <f t="shared" si="0"/>
        <v>17742803</v>
      </c>
      <c r="E26" s="15">
        <v>1473152</v>
      </c>
      <c r="F26" s="16">
        <v>1110</v>
      </c>
      <c r="G26" s="15">
        <v>190</v>
      </c>
    </row>
    <row r="27" spans="1:7" ht="12">
      <c r="A27" s="22">
        <f t="shared" si="1"/>
        <v>41097</v>
      </c>
      <c r="B27" s="15">
        <v>20739811.99</v>
      </c>
      <c r="C27" s="15">
        <v>155920.99</v>
      </c>
      <c r="D27" s="15">
        <f t="shared" si="0"/>
        <v>19050762</v>
      </c>
      <c r="E27" s="15">
        <v>1533129</v>
      </c>
      <c r="F27" s="16">
        <v>1110</v>
      </c>
      <c r="G27" s="15">
        <v>197</v>
      </c>
    </row>
    <row r="28" spans="1:7" ht="12">
      <c r="A28" s="22">
        <f t="shared" si="1"/>
        <v>41104</v>
      </c>
      <c r="B28" s="15">
        <v>18789232.72</v>
      </c>
      <c r="C28" s="15">
        <v>138515.72</v>
      </c>
      <c r="D28" s="15">
        <f t="shared" si="0"/>
        <v>17294885</v>
      </c>
      <c r="E28" s="15">
        <v>1355832</v>
      </c>
      <c r="F28" s="16">
        <v>1110</v>
      </c>
      <c r="G28" s="15">
        <v>174</v>
      </c>
    </row>
    <row r="29" spans="1:7" ht="12">
      <c r="A29" s="22">
        <f t="shared" si="1"/>
        <v>41111</v>
      </c>
      <c r="B29" s="15">
        <v>18385069.01</v>
      </c>
      <c r="C29" s="15">
        <v>134121.01</v>
      </c>
      <c r="D29" s="15">
        <f t="shared" si="0"/>
        <v>16913191</v>
      </c>
      <c r="E29" s="15">
        <v>1337757</v>
      </c>
      <c r="F29" s="16">
        <v>1110</v>
      </c>
      <c r="G29" s="15">
        <v>172</v>
      </c>
    </row>
    <row r="30" spans="1:7" ht="12">
      <c r="A30" s="22">
        <f t="shared" si="1"/>
        <v>41118</v>
      </c>
      <c r="B30" s="15">
        <v>18385086.64</v>
      </c>
      <c r="C30" s="15">
        <v>88597.64</v>
      </c>
      <c r="D30" s="15">
        <f t="shared" si="0"/>
        <v>16962798</v>
      </c>
      <c r="E30" s="15">
        <v>1333691</v>
      </c>
      <c r="F30" s="16">
        <v>1110</v>
      </c>
      <c r="G30" s="15">
        <v>172</v>
      </c>
    </row>
    <row r="31" spans="1:7" ht="12">
      <c r="A31" s="22">
        <f t="shared" si="1"/>
        <v>41125</v>
      </c>
      <c r="B31" s="15">
        <v>19071347.84</v>
      </c>
      <c r="C31" s="15">
        <v>143858.84</v>
      </c>
      <c r="D31" s="15">
        <f t="shared" si="0"/>
        <v>17567311</v>
      </c>
      <c r="E31" s="15">
        <v>1360178</v>
      </c>
      <c r="F31" s="16">
        <v>1110</v>
      </c>
      <c r="G31" s="15">
        <v>175</v>
      </c>
    </row>
    <row r="32" spans="1:7" ht="12">
      <c r="A32" s="22">
        <f t="shared" si="1"/>
        <v>41132</v>
      </c>
      <c r="B32" s="15">
        <v>18535064.22</v>
      </c>
      <c r="C32" s="15">
        <v>127508.22</v>
      </c>
      <c r="D32" s="15">
        <f t="shared" si="0"/>
        <v>17099011</v>
      </c>
      <c r="E32" s="15">
        <v>1308545</v>
      </c>
      <c r="F32" s="16">
        <v>1110</v>
      </c>
      <c r="G32" s="15">
        <v>168</v>
      </c>
    </row>
    <row r="33" spans="1:7" ht="12">
      <c r="A33" s="22">
        <f t="shared" si="1"/>
        <v>41139</v>
      </c>
      <c r="B33" s="15">
        <v>18440935.25</v>
      </c>
      <c r="C33" s="15">
        <v>126226.25</v>
      </c>
      <c r="D33" s="15">
        <f t="shared" si="0"/>
        <v>16996191</v>
      </c>
      <c r="E33" s="15">
        <v>1318518</v>
      </c>
      <c r="F33" s="16">
        <v>1110</v>
      </c>
      <c r="G33" s="15">
        <v>170</v>
      </c>
    </row>
    <row r="34" spans="1:7" ht="12">
      <c r="A34" s="22">
        <f t="shared" si="1"/>
        <v>41146</v>
      </c>
      <c r="B34" s="15">
        <v>17922980.67</v>
      </c>
      <c r="C34" s="15">
        <v>67221.67</v>
      </c>
      <c r="D34" s="15">
        <f t="shared" si="0"/>
        <v>16405437</v>
      </c>
      <c r="E34" s="15">
        <v>1450322</v>
      </c>
      <c r="F34" s="16">
        <v>1110</v>
      </c>
      <c r="G34" s="15">
        <v>187</v>
      </c>
    </row>
    <row r="35" spans="1:7" ht="12">
      <c r="A35" s="22">
        <f t="shared" si="1"/>
        <v>41153</v>
      </c>
      <c r="B35" s="15">
        <v>17769041.51</v>
      </c>
      <c r="C35" s="15">
        <v>126858.51</v>
      </c>
      <c r="D35" s="15">
        <f t="shared" si="0"/>
        <v>16379943</v>
      </c>
      <c r="E35" s="15">
        <v>1262240</v>
      </c>
      <c r="F35" s="16">
        <v>1110</v>
      </c>
      <c r="G35" s="15">
        <v>162</v>
      </c>
    </row>
    <row r="36" spans="1:7" ht="12">
      <c r="A36" s="22">
        <f t="shared" si="1"/>
        <v>41160</v>
      </c>
      <c r="B36" s="15">
        <v>18867854.41</v>
      </c>
      <c r="C36" s="15">
        <v>154066.41</v>
      </c>
      <c r="D36" s="15">
        <f t="shared" si="0"/>
        <v>17300344</v>
      </c>
      <c r="E36" s="15">
        <v>1413444</v>
      </c>
      <c r="F36" s="16">
        <v>1110</v>
      </c>
      <c r="G36" s="15">
        <v>182</v>
      </c>
    </row>
    <row r="37" spans="1:7" ht="12">
      <c r="A37" s="22">
        <f t="shared" si="1"/>
        <v>41167</v>
      </c>
      <c r="B37" s="15">
        <v>15446843.51</v>
      </c>
      <c r="C37" s="15">
        <v>116063.51</v>
      </c>
      <c r="D37" s="15">
        <f t="shared" si="0"/>
        <v>14208131</v>
      </c>
      <c r="E37" s="15">
        <v>1122649</v>
      </c>
      <c r="F37" s="16">
        <v>1110</v>
      </c>
      <c r="G37" s="15">
        <v>144</v>
      </c>
    </row>
    <row r="38" spans="1:7" ht="12">
      <c r="A38" s="22">
        <f t="shared" si="1"/>
        <v>41174</v>
      </c>
      <c r="B38" s="15">
        <v>15301368.3</v>
      </c>
      <c r="C38" s="15">
        <v>115678.3</v>
      </c>
      <c r="D38" s="15">
        <f t="shared" si="0"/>
        <v>14068850</v>
      </c>
      <c r="E38" s="15">
        <v>1116840</v>
      </c>
      <c r="F38" s="16">
        <f>7770/7</f>
        <v>1110</v>
      </c>
      <c r="G38" s="15">
        <v>144</v>
      </c>
    </row>
    <row r="39" spans="1:7" ht="12">
      <c r="A39" s="22">
        <f t="shared" si="1"/>
        <v>41181</v>
      </c>
      <c r="B39" s="15">
        <v>17127091.38</v>
      </c>
      <c r="C39" s="15">
        <v>157546.38</v>
      </c>
      <c r="D39" s="15">
        <f t="shared" si="0"/>
        <v>15764276</v>
      </c>
      <c r="E39" s="15">
        <v>1205269</v>
      </c>
      <c r="F39" s="16">
        <f>7770/7</f>
        <v>1110</v>
      </c>
      <c r="G39" s="15">
        <v>155</v>
      </c>
    </row>
    <row r="40" spans="1:7" ht="12">
      <c r="A40" s="22">
        <f t="shared" si="1"/>
        <v>41188</v>
      </c>
      <c r="B40" s="15">
        <v>16075008.26</v>
      </c>
      <c r="C40" s="15">
        <v>142427.26</v>
      </c>
      <c r="D40" s="15">
        <f t="shared" si="0"/>
        <v>14816701</v>
      </c>
      <c r="E40" s="15">
        <v>1115880</v>
      </c>
      <c r="F40" s="16">
        <v>1110</v>
      </c>
      <c r="G40" s="15">
        <v>144</v>
      </c>
    </row>
    <row r="41" spans="1:7" ht="12">
      <c r="A41" s="22">
        <f t="shared" si="1"/>
        <v>41195</v>
      </c>
      <c r="B41" s="15">
        <v>15583545.65</v>
      </c>
      <c r="C41" s="15">
        <v>63180.65</v>
      </c>
      <c r="D41" s="15">
        <f t="shared" si="0"/>
        <v>14404701</v>
      </c>
      <c r="E41" s="15">
        <v>1115664</v>
      </c>
      <c r="F41" s="16">
        <f>7770/7</f>
        <v>1110</v>
      </c>
      <c r="G41" s="15">
        <v>144</v>
      </c>
    </row>
    <row r="42" spans="1:7" ht="12">
      <c r="A42" s="22">
        <f t="shared" si="1"/>
        <v>41202</v>
      </c>
      <c r="B42" s="15">
        <v>16250448.89</v>
      </c>
      <c r="C42" s="15">
        <v>-314234.11</v>
      </c>
      <c r="D42" s="15">
        <f t="shared" si="0"/>
        <v>14968649</v>
      </c>
      <c r="E42" s="15">
        <v>1596034</v>
      </c>
      <c r="F42" s="16">
        <f>7770/7</f>
        <v>1110</v>
      </c>
      <c r="G42" s="15">
        <v>205</v>
      </c>
    </row>
    <row r="43" spans="1:7" ht="12">
      <c r="A43" s="22">
        <f t="shared" si="1"/>
        <v>41209</v>
      </c>
      <c r="B43" s="15">
        <v>15914705.9</v>
      </c>
      <c r="C43" s="15">
        <v>146203.9</v>
      </c>
      <c r="D43" s="15">
        <f t="shared" si="0"/>
        <v>14572619</v>
      </c>
      <c r="E43" s="15">
        <v>1195883</v>
      </c>
      <c r="F43" s="16">
        <v>1110</v>
      </c>
      <c r="G43" s="15">
        <v>154</v>
      </c>
    </row>
    <row r="44" spans="1:7" ht="12">
      <c r="A44" s="22">
        <f t="shared" si="1"/>
        <v>41216</v>
      </c>
      <c r="B44" s="15">
        <v>12705471.25</v>
      </c>
      <c r="C44" s="15">
        <v>113399.25</v>
      </c>
      <c r="D44" s="15">
        <f t="shared" si="0"/>
        <v>11684953</v>
      </c>
      <c r="E44" s="15">
        <v>907119</v>
      </c>
      <c r="F44" s="16">
        <v>1110</v>
      </c>
      <c r="G44" s="15">
        <v>117</v>
      </c>
    </row>
    <row r="45" spans="1:7" ht="12">
      <c r="A45" s="22">
        <f t="shared" si="1"/>
        <v>41223</v>
      </c>
      <c r="B45" s="15">
        <v>18121306.71</v>
      </c>
      <c r="C45" s="15">
        <v>294123.71</v>
      </c>
      <c r="D45" s="15">
        <f t="shared" si="0"/>
        <v>16625673</v>
      </c>
      <c r="E45" s="15">
        <v>1201510</v>
      </c>
      <c r="F45" s="16">
        <v>1110</v>
      </c>
      <c r="G45" s="15">
        <v>155</v>
      </c>
    </row>
    <row r="46" spans="1:7" ht="12">
      <c r="A46" s="22">
        <f t="shared" si="1"/>
        <v>41230</v>
      </c>
      <c r="B46" s="15">
        <v>14954285.14</v>
      </c>
      <c r="C46" s="15">
        <v>126834.14</v>
      </c>
      <c r="D46" s="15">
        <f t="shared" si="0"/>
        <v>13778165</v>
      </c>
      <c r="E46" s="15">
        <v>1049286</v>
      </c>
      <c r="F46" s="16">
        <v>1110</v>
      </c>
      <c r="G46" s="15">
        <v>135</v>
      </c>
    </row>
    <row r="47" spans="1:7" ht="12">
      <c r="A47" s="22">
        <f t="shared" si="1"/>
        <v>41237</v>
      </c>
      <c r="B47" s="15">
        <v>16725509.55</v>
      </c>
      <c r="C47" s="15">
        <v>156375.55</v>
      </c>
      <c r="D47" s="15">
        <f t="shared" si="0"/>
        <v>15402213</v>
      </c>
      <c r="E47" s="15">
        <v>1166921</v>
      </c>
      <c r="F47" s="16">
        <f>7770/7</f>
        <v>1110</v>
      </c>
      <c r="G47" s="15">
        <v>150</v>
      </c>
    </row>
    <row r="48" spans="1:7" ht="12">
      <c r="A48" s="22">
        <f t="shared" si="1"/>
        <v>41244</v>
      </c>
      <c r="B48" s="15">
        <v>13747056.47</v>
      </c>
      <c r="C48" s="15">
        <v>21541.47</v>
      </c>
      <c r="D48" s="15">
        <f t="shared" si="0"/>
        <v>12592359</v>
      </c>
      <c r="E48" s="15">
        <v>1133156</v>
      </c>
      <c r="F48" s="16">
        <v>1110</v>
      </c>
      <c r="G48" s="15">
        <v>146</v>
      </c>
    </row>
    <row r="49" spans="1:7" ht="12">
      <c r="A49" s="22">
        <f t="shared" si="1"/>
        <v>41251</v>
      </c>
      <c r="B49" s="15">
        <v>15450099.09</v>
      </c>
      <c r="C49" s="15">
        <v>-130112.91</v>
      </c>
      <c r="D49" s="15">
        <f t="shared" si="0"/>
        <v>14265289</v>
      </c>
      <c r="E49" s="15">
        <v>1314923</v>
      </c>
      <c r="F49" s="16">
        <v>1110</v>
      </c>
      <c r="G49" s="15">
        <v>169</v>
      </c>
    </row>
    <row r="50" spans="1:7" ht="12">
      <c r="A50" s="22">
        <f t="shared" si="1"/>
        <v>41258</v>
      </c>
      <c r="B50" s="15">
        <v>15537488.16</v>
      </c>
      <c r="C50" s="15">
        <v>184493.16</v>
      </c>
      <c r="D50" s="15">
        <f t="shared" si="0"/>
        <v>14375233</v>
      </c>
      <c r="E50" s="15">
        <v>977762</v>
      </c>
      <c r="F50" s="16">
        <v>1110</v>
      </c>
      <c r="G50" s="15">
        <v>126</v>
      </c>
    </row>
    <row r="51" spans="1:7" ht="12">
      <c r="A51" s="22">
        <f t="shared" si="1"/>
        <v>41265</v>
      </c>
      <c r="B51" s="15">
        <v>13971663.1</v>
      </c>
      <c r="C51" s="15">
        <v>-70918.9</v>
      </c>
      <c r="D51" s="15">
        <f t="shared" si="0"/>
        <v>12801898</v>
      </c>
      <c r="E51" s="15">
        <v>1240684</v>
      </c>
      <c r="F51" s="16">
        <v>1110</v>
      </c>
      <c r="G51" s="15">
        <v>160</v>
      </c>
    </row>
    <row r="52" spans="1:7" ht="12">
      <c r="A52" s="22">
        <f t="shared" si="1"/>
        <v>41272</v>
      </c>
      <c r="B52" s="15">
        <v>10148964.2</v>
      </c>
      <c r="C52" s="15">
        <v>105300.2</v>
      </c>
      <c r="D52" s="15">
        <f t="shared" si="0"/>
        <v>9298310</v>
      </c>
      <c r="E52" s="15">
        <v>745354</v>
      </c>
      <c r="F52" s="16">
        <f>7770/7</f>
        <v>1110</v>
      </c>
      <c r="G52" s="15">
        <v>96</v>
      </c>
    </row>
    <row r="53" spans="1:7" ht="12">
      <c r="A53" s="22">
        <f t="shared" si="1"/>
        <v>41279</v>
      </c>
      <c r="B53" s="15">
        <v>19740181.72</v>
      </c>
      <c r="C53" s="15">
        <v>209556.72</v>
      </c>
      <c r="D53" s="15">
        <f t="shared" si="0"/>
        <v>18179241</v>
      </c>
      <c r="E53" s="15">
        <v>1351384</v>
      </c>
      <c r="F53" s="16">
        <v>1110</v>
      </c>
      <c r="G53" s="15">
        <v>174</v>
      </c>
    </row>
    <row r="54" spans="1:7" ht="12">
      <c r="A54" s="22">
        <f t="shared" si="1"/>
        <v>41286</v>
      </c>
      <c r="B54" s="15">
        <v>15242894.94</v>
      </c>
      <c r="C54" s="15">
        <v>170390.94</v>
      </c>
      <c r="D54" s="15">
        <f t="shared" si="0"/>
        <v>14029826</v>
      </c>
      <c r="E54" s="15">
        <v>1042678</v>
      </c>
      <c r="F54" s="16">
        <v>1110</v>
      </c>
      <c r="G54" s="15">
        <v>134</v>
      </c>
    </row>
    <row r="55" spans="1:7" ht="12">
      <c r="A55" s="22">
        <f t="shared" si="1"/>
        <v>41293</v>
      </c>
      <c r="B55" s="15">
        <v>14793381.16</v>
      </c>
      <c r="C55" s="15">
        <v>149764.16</v>
      </c>
      <c r="D55" s="15">
        <f t="shared" si="0"/>
        <v>13579570</v>
      </c>
      <c r="E55" s="15">
        <v>1064047</v>
      </c>
      <c r="F55" s="16">
        <v>1107.2857142857142</v>
      </c>
      <c r="G55" s="15">
        <v>137</v>
      </c>
    </row>
    <row r="56" spans="1:7" ht="12">
      <c r="A56" s="22">
        <f t="shared" si="1"/>
        <v>41300</v>
      </c>
      <c r="B56" s="15">
        <v>14559123.94</v>
      </c>
      <c r="C56" s="15">
        <v>160685.94</v>
      </c>
      <c r="D56" s="15">
        <f t="shared" si="0"/>
        <v>13393516</v>
      </c>
      <c r="E56" s="15">
        <v>1004922</v>
      </c>
      <c r="F56" s="16">
        <v>1110</v>
      </c>
      <c r="G56" s="15">
        <v>129</v>
      </c>
    </row>
    <row r="57" spans="1:7" ht="12">
      <c r="A57" s="22">
        <f t="shared" si="1"/>
        <v>41307</v>
      </c>
      <c r="B57" s="15">
        <v>14517451.42</v>
      </c>
      <c r="C57" s="15">
        <v>41757.42</v>
      </c>
      <c r="D57" s="15">
        <f t="shared" si="0"/>
        <v>13375929</v>
      </c>
      <c r="E57" s="15">
        <v>1099765</v>
      </c>
      <c r="F57" s="16">
        <v>1110</v>
      </c>
      <c r="G57" s="15">
        <v>142</v>
      </c>
    </row>
    <row r="58" spans="1:7" ht="12">
      <c r="A58" s="22">
        <f t="shared" si="1"/>
        <v>41314</v>
      </c>
      <c r="B58" s="15">
        <v>11759008.87</v>
      </c>
      <c r="C58" s="15">
        <v>135945.87</v>
      </c>
      <c r="D58" s="15">
        <f t="shared" si="0"/>
        <v>10796392</v>
      </c>
      <c r="E58" s="15">
        <v>826671</v>
      </c>
      <c r="F58" s="16">
        <v>1110</v>
      </c>
      <c r="G58" s="15">
        <v>106</v>
      </c>
    </row>
    <row r="59" spans="1:7" ht="12">
      <c r="A59" s="22">
        <f t="shared" si="1"/>
        <v>41321</v>
      </c>
      <c r="B59" s="15">
        <v>16811048.15</v>
      </c>
      <c r="C59" s="15">
        <v>168994.15</v>
      </c>
      <c r="D59" s="15">
        <f t="shared" si="0"/>
        <v>15423325.999999998</v>
      </c>
      <c r="E59" s="15">
        <v>1218728</v>
      </c>
      <c r="F59" s="16">
        <v>1110</v>
      </c>
      <c r="G59" s="15">
        <v>157</v>
      </c>
    </row>
    <row r="60" spans="1:7" ht="12">
      <c r="A60" s="22">
        <f t="shared" si="1"/>
        <v>41328</v>
      </c>
      <c r="B60" s="15">
        <v>16791080.25</v>
      </c>
      <c r="C60" s="15">
        <v>85013.25</v>
      </c>
      <c r="D60" s="15">
        <f t="shared" si="0"/>
        <v>15408159</v>
      </c>
      <c r="E60" s="15">
        <v>1297908</v>
      </c>
      <c r="F60" s="16">
        <v>1110</v>
      </c>
      <c r="G60" s="15">
        <v>167</v>
      </c>
    </row>
    <row r="61" spans="1:7" ht="12">
      <c r="A61" s="22">
        <f t="shared" si="1"/>
        <v>41335</v>
      </c>
      <c r="B61" s="15">
        <v>17958287.58</v>
      </c>
      <c r="C61" s="15">
        <v>182429.58</v>
      </c>
      <c r="D61" s="15">
        <f t="shared" si="0"/>
        <v>16419092</v>
      </c>
      <c r="E61" s="15">
        <v>1356766</v>
      </c>
      <c r="F61" s="16">
        <v>1110</v>
      </c>
      <c r="G61" s="15">
        <v>175</v>
      </c>
    </row>
    <row r="62" spans="1:7" ht="12">
      <c r="A62" s="22">
        <f t="shared" si="1"/>
        <v>41342</v>
      </c>
      <c r="B62" s="15">
        <v>15951629.59</v>
      </c>
      <c r="C62" s="15">
        <v>174377.59</v>
      </c>
      <c r="D62" s="15">
        <f t="shared" si="0"/>
        <v>14679115</v>
      </c>
      <c r="E62" s="15">
        <v>1098137</v>
      </c>
      <c r="F62" s="16">
        <v>1110</v>
      </c>
      <c r="G62" s="15">
        <v>141</v>
      </c>
    </row>
    <row r="63" spans="1:7" ht="12">
      <c r="A63" s="22">
        <f t="shared" si="1"/>
        <v>41349</v>
      </c>
      <c r="B63" s="15">
        <v>16332612.28</v>
      </c>
      <c r="C63" s="15">
        <v>175821.28</v>
      </c>
      <c r="D63" s="15">
        <f t="shared" si="0"/>
        <v>15006569</v>
      </c>
      <c r="E63" s="15">
        <v>1150222</v>
      </c>
      <c r="F63" s="16">
        <v>1110</v>
      </c>
      <c r="G63" s="15">
        <v>148</v>
      </c>
    </row>
    <row r="64" spans="1:7" ht="12">
      <c r="A64" s="22">
        <f t="shared" si="1"/>
        <v>41356</v>
      </c>
      <c r="B64" s="15">
        <v>15627099.78</v>
      </c>
      <c r="C64" s="15">
        <v>85506.78</v>
      </c>
      <c r="D64" s="15">
        <f t="shared" si="0"/>
        <v>14368834</v>
      </c>
      <c r="E64" s="15">
        <v>1172759</v>
      </c>
      <c r="F64" s="16">
        <v>1110</v>
      </c>
      <c r="G64" s="15">
        <v>151</v>
      </c>
    </row>
    <row r="65" ht="12">
      <c r="A65" s="22"/>
    </row>
    <row r="66" spans="1:7" ht="12.75" thickBot="1">
      <c r="A66" s="3" t="s">
        <v>8</v>
      </c>
      <c r="B66" s="17">
        <f>SUM(B13:B64)</f>
        <v>867488033.97</v>
      </c>
      <c r="C66" s="17">
        <f>SUM(C13:C64)</f>
        <v>5611603.970000002</v>
      </c>
      <c r="D66" s="17">
        <f>SUM(D13:D64)</f>
        <v>798429256</v>
      </c>
      <c r="E66" s="17">
        <f>SUM(E13:E64)</f>
        <v>63447174</v>
      </c>
      <c r="F66" s="24">
        <f>SUM(F13:F65)/COUNT(F13:F65)</f>
        <v>1109.9478021978023</v>
      </c>
      <c r="G66" s="17">
        <f>+E66/SUM(F13:F65)/7</f>
        <v>157.03929746226063</v>
      </c>
    </row>
    <row r="67" spans="1:5" s="21" customFormat="1" ht="12.7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monticellocasinoand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Contreras (Gaming)</cp:lastModifiedBy>
  <cp:lastPrinted>2018-12-10T19:32:37Z</cp:lastPrinted>
  <dcterms:created xsi:type="dcterms:W3CDTF">2007-10-10T21:03:54Z</dcterms:created>
  <dcterms:modified xsi:type="dcterms:W3CDTF">2020-04-06T19:13:45Z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